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macen1b\Desktop\DOC SGC\Gestión Almacén\CATALOGOS Almacén Gral\Catálogos 2025\"/>
    </mc:Choice>
  </mc:AlternateContent>
  <xr:revisionPtr revIDLastSave="0" documentId="13_ncr:1_{8584AD50-5975-4ED6-BB65-5A62A344137A}" xr6:coauthVersionLast="47" xr6:coauthVersionMax="47" xr10:uidLastSave="{00000000-0000-0000-0000-000000000000}"/>
  <bookViews>
    <workbookView xWindow="-108" yWindow="-108" windowWidth="26055" windowHeight="14024" activeTab="3" xr2:uid="{00000000-000D-0000-FFFF-FFFF00000000}"/>
  </bookViews>
  <sheets>
    <sheet name="Aseo" sheetId="10" r:id="rId1"/>
    <sheet name="Papelería" sheetId="2" r:id="rId2"/>
    <sheet name="Laboratorio" sheetId="3" r:id="rId3"/>
    <sheet name="Sustancias Uso Rec. " sheetId="7" r:id="rId4"/>
    <sheet name="Formato-VSA" sheetId="11" r:id="rId5"/>
  </sheets>
  <definedNames>
    <definedName name="_xlnm.Print_Area" localSheetId="4">'Formato-VSA'!$A$1:$Z$43</definedName>
    <definedName name="_xlnm.Print_Titles" localSheetId="4">'Formato-VSA'!$1:$4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7" l="1"/>
  <c r="D70" i="7"/>
  <c r="D69" i="7"/>
  <c r="D67" i="7"/>
  <c r="D66" i="7"/>
  <c r="D65" i="7"/>
  <c r="D64" i="7"/>
  <c r="D63" i="7"/>
  <c r="D62" i="7"/>
  <c r="D60" i="7"/>
  <c r="D59" i="7"/>
  <c r="D58" i="7"/>
  <c r="D57" i="7"/>
  <c r="D56" i="7"/>
  <c r="D55" i="7"/>
  <c r="D54" i="7"/>
  <c r="D53" i="7"/>
  <c r="D52" i="7"/>
  <c r="D49" i="7"/>
  <c r="D48" i="7"/>
  <c r="D47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3" i="7"/>
  <c r="D22" i="7"/>
  <c r="D21" i="7"/>
  <c r="D20" i="7"/>
  <c r="D19" i="7"/>
  <c r="D17" i="7"/>
  <c r="D16" i="7"/>
  <c r="D14" i="7"/>
  <c r="D12" i="7"/>
  <c r="D11" i="7"/>
  <c r="D10" i="7"/>
  <c r="D9" i="7"/>
  <c r="D8" i="7"/>
  <c r="D7" i="7"/>
  <c r="D5" i="7"/>
  <c r="D3" i="7"/>
  <c r="D2" i="7"/>
  <c r="D116" i="3"/>
  <c r="D115" i="3"/>
  <c r="D114" i="3"/>
  <c r="D113" i="3"/>
  <c r="D112" i="3"/>
  <c r="D111" i="3"/>
  <c r="D110" i="3"/>
  <c r="D109" i="3"/>
  <c r="D107" i="3"/>
  <c r="D106" i="3"/>
  <c r="D105" i="3"/>
  <c r="D91" i="3"/>
  <c r="D90" i="3"/>
  <c r="D88" i="3"/>
  <c r="D87" i="3"/>
  <c r="D86" i="3"/>
  <c r="D84" i="3"/>
  <c r="D82" i="3"/>
  <c r="D81" i="3"/>
  <c r="D80" i="3"/>
  <c r="D79" i="3"/>
  <c r="D77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4" i="3"/>
  <c r="D32" i="3"/>
  <c r="D29" i="3"/>
  <c r="D28" i="3"/>
  <c r="D27" i="3"/>
  <c r="D26" i="3"/>
  <c r="D25" i="3"/>
  <c r="D24" i="3"/>
  <c r="D23" i="3"/>
  <c r="D22" i="3"/>
  <c r="D20" i="3"/>
  <c r="D19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154" i="2"/>
  <c r="D153" i="2"/>
  <c r="D152" i="2"/>
  <c r="D150" i="2"/>
  <c r="D149" i="2"/>
  <c r="D148" i="2"/>
  <c r="D147" i="2"/>
  <c r="D146" i="2"/>
  <c r="D145" i="2"/>
  <c r="D144" i="2"/>
  <c r="D143" i="2"/>
  <c r="D141" i="2"/>
  <c r="D140" i="2"/>
  <c r="D139" i="2"/>
  <c r="D138" i="2"/>
  <c r="D137" i="2"/>
  <c r="D135" i="2"/>
  <c r="D134" i="2"/>
  <c r="D133" i="2"/>
  <c r="D132" i="2"/>
  <c r="D131" i="2"/>
  <c r="D129" i="2"/>
  <c r="D128" i="2"/>
  <c r="D127" i="2"/>
  <c r="D126" i="2"/>
  <c r="D124" i="2"/>
  <c r="D123" i="2"/>
  <c r="D122" i="2"/>
  <c r="D121" i="2"/>
  <c r="D120" i="2"/>
  <c r="D119" i="2"/>
  <c r="D118" i="2"/>
  <c r="D115" i="2"/>
  <c r="D113" i="2"/>
  <c r="D112" i="2"/>
  <c r="D111" i="2"/>
  <c r="D110" i="2"/>
  <c r="D109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5" i="2"/>
  <c r="D84" i="2"/>
  <c r="D83" i="2"/>
  <c r="D82" i="2"/>
  <c r="D81" i="2"/>
  <c r="D80" i="2"/>
  <c r="D77" i="2"/>
  <c r="D76" i="2"/>
  <c r="D75" i="2"/>
  <c r="D73" i="2"/>
  <c r="D72" i="2"/>
  <c r="D70" i="2"/>
  <c r="D69" i="2"/>
  <c r="D68" i="2"/>
  <c r="D66" i="2"/>
  <c r="D65" i="2"/>
  <c r="D64" i="2"/>
  <c r="D63" i="2"/>
  <c r="D62" i="2"/>
  <c r="D61" i="2"/>
  <c r="D60" i="2"/>
  <c r="D58" i="2"/>
  <c r="D57" i="2"/>
  <c r="D56" i="2"/>
  <c r="D55" i="2"/>
  <c r="D54" i="2"/>
  <c r="D52" i="2"/>
  <c r="D51" i="2"/>
  <c r="D50" i="2"/>
  <c r="D48" i="2"/>
  <c r="D47" i="2"/>
  <c r="D46" i="2"/>
  <c r="D45" i="2"/>
  <c r="D44" i="2"/>
  <c r="D43" i="2"/>
  <c r="D40" i="2"/>
  <c r="D39" i="2"/>
  <c r="D38" i="2"/>
  <c r="D37" i="2"/>
  <c r="D36" i="2"/>
  <c r="D35" i="2"/>
  <c r="D34" i="2"/>
  <c r="D33" i="2"/>
  <c r="D31" i="2"/>
  <c r="D30" i="2"/>
  <c r="D29" i="2"/>
  <c r="D28" i="2"/>
  <c r="D26" i="2"/>
  <c r="D20" i="2"/>
  <c r="D19" i="2"/>
  <c r="D18" i="2"/>
  <c r="D17" i="2"/>
  <c r="D16" i="2"/>
  <c r="D15" i="2"/>
  <c r="D14" i="2"/>
  <c r="D13" i="2"/>
  <c r="D10" i="2"/>
  <c r="D9" i="2"/>
  <c r="D8" i="2"/>
  <c r="D7" i="2"/>
  <c r="D6" i="2"/>
  <c r="D5" i="2"/>
  <c r="D4" i="2"/>
  <c r="D2" i="2"/>
  <c r="D44" i="10"/>
  <c r="D40" i="10"/>
  <c r="D39" i="10"/>
  <c r="D38" i="10"/>
  <c r="D37" i="10"/>
  <c r="D36" i="10"/>
  <c r="D35" i="10"/>
  <c r="D34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0" i="10"/>
  <c r="D8" i="10"/>
  <c r="D7" i="10"/>
  <c r="D6" i="10"/>
  <c r="D5" i="10"/>
</calcChain>
</file>

<file path=xl/sharedStrings.xml><?xml version="1.0" encoding="utf-8"?>
<sst xmlns="http://schemas.openxmlformats.org/spreadsheetml/2006/main" count="1070" uniqueCount="701">
  <si>
    <t>Precio</t>
  </si>
  <si>
    <t>Unidad</t>
  </si>
  <si>
    <t xml:space="preserve">Clave </t>
  </si>
  <si>
    <t>Descripción</t>
  </si>
  <si>
    <t>ROLLO</t>
  </si>
  <si>
    <t>CAJA</t>
  </si>
  <si>
    <t>PIEZA</t>
  </si>
  <si>
    <t>BIDON</t>
  </si>
  <si>
    <t>PAR</t>
  </si>
  <si>
    <t>BOTE</t>
  </si>
  <si>
    <t>LITRO</t>
  </si>
  <si>
    <t>PAQUETE</t>
  </si>
  <si>
    <t>BULBO P/PIPETA PASTEUR PAQ. C/50 PZAS.</t>
  </si>
  <si>
    <t>CUBRE OBJETOS REDONDOS DE 18 MM DIAMETRO</t>
  </si>
  <si>
    <t>EMBUDO DE SEPARACION DE 1 L</t>
  </si>
  <si>
    <t>EMBUDO DE VIDRIO DE 7.5 CMS. TALLO CORTO</t>
  </si>
  <si>
    <t>EMBUDO DE VIDRIO ESTRIADO DE 10 CMS.</t>
  </si>
  <si>
    <t>ESPATULA CON DOS PUNTAS PLANAS</t>
  </si>
  <si>
    <t>ESPATULA PUNTA DE CUCHARA PUNTA PLANA</t>
  </si>
  <si>
    <t>GUANTE DE LATEX DESECHABLE NO ESTERIL CHICO</t>
  </si>
  <si>
    <t>GUANTE DE LATEX DESECHABLE NO ESTERIL GRANDE</t>
  </si>
  <si>
    <t>GUANTE DE LATEX DESECHABLE NO ESTERIL MEDIANO</t>
  </si>
  <si>
    <t>GUANTE DE NITRILO L/POLVO  NO ESTERIL  CHICO  C/100</t>
  </si>
  <si>
    <t>GUANTE DE NITRILO L/POLVO  NO ESTERIL  GRANDE  C/100</t>
  </si>
  <si>
    <t>GUANTE DE NITRILO L/POLVO  NO ESTERIL  MEDIANO  C/100</t>
  </si>
  <si>
    <t>PAPEL PARAFILM DOBLE LADO DE 2" X 250 M</t>
  </si>
  <si>
    <t>PAPEL PARAFILM DOBLE LADO DE 4 "</t>
  </si>
  <si>
    <t>PISETA DE PLASTICO DE 1 LITRO</t>
  </si>
  <si>
    <t>PROPIPETA DE 3 VIAS</t>
  </si>
  <si>
    <t>TERMOMETRO -10 A 400 °C.</t>
  </si>
  <si>
    <t>TERMOMETRO C/INM. PARCIAL  DE -20 A  110 °C</t>
  </si>
  <si>
    <t>TERMOMETRO DE -10 A 260 °C.</t>
  </si>
  <si>
    <t>TERMOMETRO DE -35 A 50 °</t>
  </si>
  <si>
    <t>TERMOMETRO DE 1 A 101 ° C.</t>
  </si>
  <si>
    <t>VASO DE PRECIPITADO DE 10 ML.</t>
  </si>
  <si>
    <t>VASO DE PRECIPITADO DE 100 ML.</t>
  </si>
  <si>
    <t>VASO DE PRECIPITADO DE 150 ML.</t>
  </si>
  <si>
    <t>VASO DE PRECIPITADO DE 20 ML.</t>
  </si>
  <si>
    <t>VASO DE PRECIPITADO DE 250 ML.</t>
  </si>
  <si>
    <t>VASO DE PRECIPITADO DE 30 ML.</t>
  </si>
  <si>
    <t>VASO DE PRECIPITADO DE 400 ML.</t>
  </si>
  <si>
    <t>VASO DE PRECIPITADO DE 50 ML.</t>
  </si>
  <si>
    <t>VASO DE PRECIPITADO DE 600 ML.</t>
  </si>
  <si>
    <t>ADHESIVO SPRAY MOUNT</t>
  </si>
  <si>
    <t>BASE ACRILICA P/CALENDARIO</t>
  </si>
  <si>
    <t xml:space="preserve">BLOCK P/TAQUIGRAFIA_x000D_
</t>
  </si>
  <si>
    <t>BLOCK POST-IT 51 x 76  MM.  No. 656</t>
  </si>
  <si>
    <t xml:space="preserve">BORRADOR P/PIZARRON_x000D_
</t>
  </si>
  <si>
    <t xml:space="preserve">BROCHE ENCUADERNADOR P/ARCHIVO_x000D_
</t>
  </si>
  <si>
    <t xml:space="preserve">CAJA DE CARTON P/ARCHIVO MUERTO T/CARTA_x000D_
</t>
  </si>
  <si>
    <t>CAJA DE CARTON P/ARCHIVO MUERTO T/OFICIO</t>
  </si>
  <si>
    <t>CALAVERA METALICA</t>
  </si>
  <si>
    <t>CARPETA DE VINIL 3 ARGOLLAS CARTA COLOR BLANCO DE 3 "</t>
  </si>
  <si>
    <t>CARPETA DE VINIL 3 ARGOLLAS COLOR BLANCO T/CARTA  2"</t>
  </si>
  <si>
    <t>CARPETA DE VINIL 3 ARGOLLAS COLOR BLANCO T/CARTA 1/2"</t>
  </si>
  <si>
    <t>CARPETA DE VINIL 3 ARGOLLAS, COLOR BLANCO T/CARTA 1 1/2"</t>
  </si>
  <si>
    <t>CARPETA DE VINIL 3 ARGOLLAS, COLOR BLANCO T/CARTA 1"</t>
  </si>
  <si>
    <t>CHINCHE METALICA</t>
  </si>
  <si>
    <t xml:space="preserve">CINTA ADHESIVA 12 MM X 33 M_x000D_
</t>
  </si>
  <si>
    <t xml:space="preserve">CLIP DEL No. 2_x000D_
</t>
  </si>
  <si>
    <t xml:space="preserve">CLIP MARIPOSA No. 1_x000D_
</t>
  </si>
  <si>
    <t xml:space="preserve">CLIP No. 1_x000D_
</t>
  </si>
  <si>
    <t>DESENGRAPADORA DE METAL Y PLASTICO</t>
  </si>
  <si>
    <t>DISCO COMPACTO REGRABABLE VELOCIDAD 80 MIN.</t>
  </si>
  <si>
    <t>ENGRAPADORA  P/PAPEL BOSTICH-B440</t>
  </si>
  <si>
    <t>ESPUMA LIMPIADORA P/CUBIERTAS DE PLASTICO  NS-85 Q. JEREZ</t>
  </si>
  <si>
    <t>FOLDER C/PERCALINA T/OFICIO</t>
  </si>
  <si>
    <t xml:space="preserve">FOLDER COLGANTE T/CARTA 25 PZAS._x000D_
</t>
  </si>
  <si>
    <t xml:space="preserve">GIS BLANCO COMPACTO_x000D_
</t>
  </si>
  <si>
    <t>GIS COLORES SURTIDOS</t>
  </si>
  <si>
    <t xml:space="preserve">GOMA BICOLOR_x000D_
</t>
  </si>
  <si>
    <t>GOMA COLOR BLANCO P/BORRAR LAPIZ DE GRAFITO</t>
  </si>
  <si>
    <t>LAPIZ ADHESIVO CHICO 11g</t>
  </si>
  <si>
    <t>LIBRETA, FORMA FRANCESA, RAYADA CON INDICE</t>
  </si>
  <si>
    <t>MULTICONTACTO CON ELIMINADOR DE PICOS</t>
  </si>
  <si>
    <t>PAPEL CARBON T/OFICIO</t>
  </si>
  <si>
    <t>PAPEL HIGIENICO INDIVIDUAL</t>
  </si>
  <si>
    <t>PAPELERA DE TRES NIVELES COLOR HUMO</t>
  </si>
  <si>
    <t>PERFORADORA METALICA P/PAPEL 3 ORIFICIOS</t>
  </si>
  <si>
    <t xml:space="preserve">PERFORADORA P/PAPEL DE METAL_x000D_
</t>
  </si>
  <si>
    <t>PUNTILLAS No. 5</t>
  </si>
  <si>
    <t>REFUERZO ENGOMADO P/OJILLOS</t>
  </si>
  <si>
    <t xml:space="preserve">REGISTRADOR P/CORRESPONDENCIA T/OFICIO_x000D_
</t>
  </si>
  <si>
    <t>SACAPUNTAS ELECTRICO, CON PARO AUTOMATICO</t>
  </si>
  <si>
    <t>SEPARADORES BRISTOL 5 POSICIONES T/CARTA BLANCO</t>
  </si>
  <si>
    <t>SEPARADORES DE PLASTICO T/CARTA EN CINCO COLORES</t>
  </si>
  <si>
    <t>TARJETA  DE CARTULINA BLANCA BRISTOL  DE 123 X 75 MM, FAJILLA C/100</t>
  </si>
  <si>
    <t>TONER HP CE278A P/1566/1606 NEGRO</t>
  </si>
  <si>
    <t>BOLSA</t>
  </si>
  <si>
    <t>POMO</t>
  </si>
  <si>
    <t>BLOCK</t>
  </si>
  <si>
    <t>TUBO</t>
  </si>
  <si>
    <t>CIENTO</t>
  </si>
  <si>
    <t>03002Q</t>
  </si>
  <si>
    <t>08029A</t>
  </si>
  <si>
    <t>08032A</t>
  </si>
  <si>
    <t>01003A</t>
  </si>
  <si>
    <t>01003Q</t>
  </si>
  <si>
    <t>01077A</t>
  </si>
  <si>
    <t>01077Q</t>
  </si>
  <si>
    <t>01251A</t>
  </si>
  <si>
    <t>01251Q</t>
  </si>
  <si>
    <t>01318Q</t>
  </si>
  <si>
    <t>04019U</t>
  </si>
  <si>
    <t>04026A</t>
  </si>
  <si>
    <t>04031A</t>
  </si>
  <si>
    <t>04010A</t>
  </si>
  <si>
    <t>17115A</t>
  </si>
  <si>
    <t>17115Q</t>
  </si>
  <si>
    <t>22150A</t>
  </si>
  <si>
    <t>18055A</t>
  </si>
  <si>
    <t>21015A</t>
  </si>
  <si>
    <t>21009A</t>
  </si>
  <si>
    <t>22087Q</t>
  </si>
  <si>
    <t>22087A</t>
  </si>
  <si>
    <t>22098A</t>
  </si>
  <si>
    <t>25008A</t>
  </si>
  <si>
    <t>26034A</t>
  </si>
  <si>
    <t>45027A</t>
  </si>
  <si>
    <t>44020A</t>
  </si>
  <si>
    <t>44028A</t>
  </si>
  <si>
    <t>48001A</t>
  </si>
  <si>
    <t>48012A</t>
  </si>
  <si>
    <t>48012Q</t>
  </si>
  <si>
    <t>48071A</t>
  </si>
  <si>
    <t>48071Q</t>
  </si>
  <si>
    <t>48074T</t>
  </si>
  <si>
    <t>50025A</t>
  </si>
  <si>
    <t>50077A</t>
  </si>
  <si>
    <t>50077Q</t>
  </si>
  <si>
    <t>UNIVERSIDAD NACIONAL AUTÓNOMA DE MÉXICO</t>
  </si>
  <si>
    <t>ÁREA SOLICITANTE:</t>
  </si>
  <si>
    <t>FOLIO:</t>
  </si>
  <si>
    <t>FECHA DE SOLICITUD:</t>
  </si>
  <si>
    <t>NOMBRE Y FIRMA</t>
  </si>
  <si>
    <t>DÍA</t>
  </si>
  <si>
    <t>MES</t>
  </si>
  <si>
    <t>AÑO</t>
  </si>
  <si>
    <t>RFC DEL RESPONSABLE DEL ÁREA:</t>
  </si>
  <si>
    <t>CON CARGO A:</t>
  </si>
  <si>
    <t>CÓDIGO</t>
  </si>
  <si>
    <t>CANTIDAD</t>
  </si>
  <si>
    <t>OBSERVACIONES</t>
  </si>
  <si>
    <t>SOLICITADA</t>
  </si>
  <si>
    <t>AUTORIZADA</t>
  </si>
  <si>
    <t>ENTREGADA</t>
  </si>
  <si>
    <t>VASO DE PRECIPITADO DE 800 ML</t>
  </si>
  <si>
    <t>MATRAZ ERLENMEYER DE 2 L</t>
  </si>
  <si>
    <t>MATRAZ VOLUMETRICO DE 1 L</t>
  </si>
  <si>
    <t>MORTERO C/PISTILO DE 70 MM</t>
  </si>
  <si>
    <t>AGITADOR DE VIDRIO DE 20 CM</t>
  </si>
  <si>
    <t>TUBO DE ENSAYE 13 X 100 MM</t>
  </si>
  <si>
    <t>PAPEL FILTRO WHATMAN No. 5 DE 15 CM</t>
  </si>
  <si>
    <t>PAPEL WHATMAN No. 52 DE 11 CM</t>
  </si>
  <si>
    <t>PAPEL WHATMAN No. 1 DE 11 CM</t>
  </si>
  <si>
    <t>TARJETA BRISTOL 12.5 X 20 CM, PAQ. C/100 PZAS.</t>
  </si>
  <si>
    <t>CINTA CORRECTORA ROLLER DE 4.2 MM  DE ANCHO</t>
  </si>
  <si>
    <t>DISCO COMPACTO GRABABLE, TIEMPO DE GRABADO 80 MIN</t>
  </si>
  <si>
    <t>LAPIZ ADHESIVO PRITT DE 22 G</t>
  </si>
  <si>
    <t>GASA TIPO HOSPITAL 20 X 12  91 X 91  44 M</t>
  </si>
  <si>
    <t>CLIPS SUJETA DOCUMENTOS 1 1/4 " 32 MM  MEDIANO</t>
  </si>
  <si>
    <t>SECRETARÍAS Y UNIDADES ADMINISTRATIVAS – SGC</t>
  </si>
  <si>
    <t>VALE  DE SALIDA DE ALMACÉN</t>
  </si>
  <si>
    <t>RESPONSABLE DEL ÁREA SOLICITANTE:</t>
  </si>
  <si>
    <t xml:space="preserve"> Aplica para SyUA´s con diversas fuentes de ingresos</t>
  </si>
  <si>
    <t>N°</t>
  </si>
  <si>
    <t>DESCRIPCIÓN</t>
  </si>
  <si>
    <t>UNIDAD</t>
  </si>
  <si>
    <t>FECHA COMPROMISO DE ENTREGA</t>
  </si>
  <si>
    <t>FECHA DE LIBERACIÓN</t>
  </si>
  <si>
    <t>VO.BO DE CONFORMACIÓN DE REQUISITOS</t>
  </si>
  <si>
    <t>ENTREGA  LOS INSUMOS</t>
  </si>
  <si>
    <t>CONFORMIDAD DE RECEPCIÓN 
  EN LA FECHA COMPROMISO</t>
  </si>
  <si>
    <t>NOMBRE Y FIRMA
RESPONSABLE DE BIENES Y SUMINISTROS</t>
  </si>
  <si>
    <t>NOMBRE Y FIRMA
RESPONSABLE DEL ALMACÉN</t>
  </si>
  <si>
    <t>NOMBRE Y FIRMA
USUARIO</t>
  </si>
  <si>
    <t>TRAMO</t>
  </si>
  <si>
    <t>ESCOBA DE MIJO</t>
  </si>
  <si>
    <t>ETILENGLICOL R. A.   4 L BAKER</t>
  </si>
  <si>
    <t>MANGUERA LATEX No. 2060 P/VACIO  CAJA CON 10 M</t>
  </si>
  <si>
    <t>MANGUERA LATEX No. 2040 P/AGUA  CAJA CON 15 M</t>
  </si>
  <si>
    <t>TUBO CAPILAR S/HEPARINA C/200 MOD. 203</t>
  </si>
  <si>
    <t>PAPEL BOND TAMAÑO CARTA PAQ. C/500 HOJAS</t>
  </si>
  <si>
    <t>PAPEL BOND T/CARTA C/ESCUDO Y LEYENDA UNAM NEGRO PAQ. C/500 HOJAS</t>
  </si>
  <si>
    <t>PAPEL BOND T/OFICIO PAQ. C/500 HOJAS</t>
  </si>
  <si>
    <t>PAPEL BOND T/CARTA IMPRESO P/EXAMEN PAQ. C/500 HOJAS</t>
  </si>
  <si>
    <t>FOLDER T/OFICIO C/ESCUDO PAQ. C/100 PZAS</t>
  </si>
  <si>
    <t>FOLDER T/CARTA PAQUETE C/100 PZAS</t>
  </si>
  <si>
    <t>SOBRE AMARILLO 30 X 39 CM    C/ESCUDO T/OFICIO</t>
  </si>
  <si>
    <t>PAPEL BOND  BLANCO T/CARTA C/ESCUDO Y LEYENDA UNAM AZUL PAQ. C/500 HOJ</t>
  </si>
  <si>
    <t>SOBRE AMARILLO MEDIO OFICIO C/ESCUDO Y LEYENDA UNAM PAQ. C/100 PIEZAS</t>
  </si>
  <si>
    <t>SOBRE AMARILLO DE 11 X 16 CM  C/ESCUDO DE LA UNAM</t>
  </si>
  <si>
    <t>CINTA MAGICA 24 MM X 65 M</t>
  </si>
  <si>
    <t>CLIPS SUJETA DOCUMENTOS 3/4 " 19 MM. CHICO</t>
  </si>
  <si>
    <t>CLIPS SUJETA DOCUMENTOS 2 " 50 MM  GRANDE</t>
  </si>
  <si>
    <t>0003</t>
  </si>
  <si>
    <t>0004</t>
  </si>
  <si>
    <t>0006</t>
  </si>
  <si>
    <t>0007</t>
  </si>
  <si>
    <t>0008</t>
  </si>
  <si>
    <t>0009</t>
  </si>
  <si>
    <t>0010</t>
  </si>
  <si>
    <t>0011</t>
  </si>
  <si>
    <t>0012</t>
  </si>
  <si>
    <t>0013</t>
  </si>
  <si>
    <t>0016</t>
  </si>
  <si>
    <t>0018</t>
  </si>
  <si>
    <t>0022</t>
  </si>
  <si>
    <t>0026</t>
  </si>
  <si>
    <t>0027</t>
  </si>
  <si>
    <t>0028</t>
  </si>
  <si>
    <t>0030</t>
  </si>
  <si>
    <t>0033</t>
  </si>
  <si>
    <t>0034</t>
  </si>
  <si>
    <t>0035</t>
  </si>
  <si>
    <t>0045</t>
  </si>
  <si>
    <t>0046</t>
  </si>
  <si>
    <t>0049</t>
  </si>
  <si>
    <t>0058</t>
  </si>
  <si>
    <t>0202</t>
  </si>
  <si>
    <t>0203</t>
  </si>
  <si>
    <t>0204</t>
  </si>
  <si>
    <t>0206</t>
  </si>
  <si>
    <t>0208</t>
  </si>
  <si>
    <t>0209</t>
  </si>
  <si>
    <t>0210</t>
  </si>
  <si>
    <t>0213</t>
  </si>
  <si>
    <t>0214</t>
  </si>
  <si>
    <t>0215</t>
  </si>
  <si>
    <t>0216</t>
  </si>
  <si>
    <t>0217</t>
  </si>
  <si>
    <t>0219</t>
  </si>
  <si>
    <t>0220</t>
  </si>
  <si>
    <t>0221</t>
  </si>
  <si>
    <t>0224</t>
  </si>
  <si>
    <t>0225</t>
  </si>
  <si>
    <t>0226</t>
  </si>
  <si>
    <t>0227</t>
  </si>
  <si>
    <t>0228</t>
  </si>
  <si>
    <t>0230</t>
  </si>
  <si>
    <t>0232</t>
  </si>
  <si>
    <t>0239</t>
  </si>
  <si>
    <t>0240</t>
  </si>
  <si>
    <t>0241</t>
  </si>
  <si>
    <t>0248</t>
  </si>
  <si>
    <t>0250</t>
  </si>
  <si>
    <t>0252</t>
  </si>
  <si>
    <t>0281</t>
  </si>
  <si>
    <t>0282</t>
  </si>
  <si>
    <t>0284</t>
  </si>
  <si>
    <t>0288</t>
  </si>
  <si>
    <t>0291</t>
  </si>
  <si>
    <t>0292</t>
  </si>
  <si>
    <t>0352</t>
  </si>
  <si>
    <t>0353</t>
  </si>
  <si>
    <t>0354</t>
  </si>
  <si>
    <t>0355</t>
  </si>
  <si>
    <t>0406</t>
  </si>
  <si>
    <t>0724</t>
  </si>
  <si>
    <t>0725</t>
  </si>
  <si>
    <t>0808</t>
  </si>
  <si>
    <t>0981</t>
  </si>
  <si>
    <t>1004</t>
  </si>
  <si>
    <t>1005</t>
  </si>
  <si>
    <t>1007</t>
  </si>
  <si>
    <t>1008</t>
  </si>
  <si>
    <t>1015</t>
  </si>
  <si>
    <t>1016</t>
  </si>
  <si>
    <t>1021</t>
  </si>
  <si>
    <t>1022</t>
  </si>
  <si>
    <t>1023</t>
  </si>
  <si>
    <t>1028</t>
  </si>
  <si>
    <t>1033</t>
  </si>
  <si>
    <t>1034</t>
  </si>
  <si>
    <t>1035</t>
  </si>
  <si>
    <t>1051</t>
  </si>
  <si>
    <t>1059</t>
  </si>
  <si>
    <t>1061</t>
  </si>
  <si>
    <t>1062</t>
  </si>
  <si>
    <t>1067</t>
  </si>
  <si>
    <t>1072</t>
  </si>
  <si>
    <t>1080</t>
  </si>
  <si>
    <t>1088</t>
  </si>
  <si>
    <t>1089</t>
  </si>
  <si>
    <t>1090</t>
  </si>
  <si>
    <t>1106</t>
  </si>
  <si>
    <t>1108</t>
  </si>
  <si>
    <t>1124</t>
  </si>
  <si>
    <t>1125</t>
  </si>
  <si>
    <t>1126</t>
  </si>
  <si>
    <t>1127</t>
  </si>
  <si>
    <t>1129</t>
  </si>
  <si>
    <t>1164</t>
  </si>
  <si>
    <t>1172</t>
  </si>
  <si>
    <t>1200</t>
  </si>
  <si>
    <t>1212</t>
  </si>
  <si>
    <t>1213</t>
  </si>
  <si>
    <t>CONO</t>
  </si>
  <si>
    <t>JUEGO</t>
  </si>
  <si>
    <t>TONER</t>
  </si>
  <si>
    <t>FRANELA DE ALGODON</t>
  </si>
  <si>
    <t>DETERGENTE EN POLVO DE 1 KG  (ROMA)</t>
  </si>
  <si>
    <t>LIMPIADOR EN POLVO (AJAX)</t>
  </si>
  <si>
    <t xml:space="preserve">CEPILLO DE FIBRA UNION BASINE_x000D_
</t>
  </si>
  <si>
    <t xml:space="preserve">CUBETA DE PLASTICO CON ASA METALICA_x000D_
</t>
  </si>
  <si>
    <t>JALADOR DE HULE</t>
  </si>
  <si>
    <t>FIBRA VERDE</t>
  </si>
  <si>
    <t>JABON P/MANOS CREMATIZADO DIFERENTE  AROMAS, GALON 5 LTS.</t>
  </si>
  <si>
    <t>BOLSA DE POLIPAPEL  110 X 120  EN ROLLO</t>
  </si>
  <si>
    <t>0401</t>
  </si>
  <si>
    <t>0402</t>
  </si>
  <si>
    <t>0405</t>
  </si>
  <si>
    <t>0408</t>
  </si>
  <si>
    <t>0411</t>
  </si>
  <si>
    <t>0417</t>
  </si>
  <si>
    <t>0421</t>
  </si>
  <si>
    <t>0423</t>
  </si>
  <si>
    <t>0427</t>
  </si>
  <si>
    <t>0435</t>
  </si>
  <si>
    <t>0436</t>
  </si>
  <si>
    <t>0437</t>
  </si>
  <si>
    <t>0438</t>
  </si>
  <si>
    <t>0440</t>
  </si>
  <si>
    <t>0443</t>
  </si>
  <si>
    <t>0445</t>
  </si>
  <si>
    <t>0446</t>
  </si>
  <si>
    <t>0447</t>
  </si>
  <si>
    <t>GALON</t>
  </si>
  <si>
    <t>ACIDO NITRICO R.A. 2.5L.BAKER</t>
  </si>
  <si>
    <t>ALCOHOL iso-PROPILICO (2PROPANOL) R. A.  4 L. BAKER</t>
  </si>
  <si>
    <t>ACETONA  R.A.  4 L. BAKER</t>
  </si>
  <si>
    <t>CLOROFORMO   4 L. BAKER</t>
  </si>
  <si>
    <t>ETER DE PETROLEO R. A.  4 L. BAKER</t>
  </si>
  <si>
    <t>ETILO ACETATO R. A.  4L</t>
  </si>
  <si>
    <t>HEXANO R. A.  4L    BAKER</t>
  </si>
  <si>
    <t>POTASIO CARBONATO R. A.   500 G  BAKER</t>
  </si>
  <si>
    <t>POTASIO CLORURO R. A.   500 G  BAKER</t>
  </si>
  <si>
    <t>SODIO ACETATO R.A. CRISTAL  500 G  BAKER</t>
  </si>
  <si>
    <t>SODIO BICARBONATO Q.P. 500 GRS.</t>
  </si>
  <si>
    <t>SODIO HIPOCLORITO 13%   BIDON 18 LITROS</t>
  </si>
  <si>
    <t>SODIO SULFATO ANHIDRO  R.A. 500 G  BAKER</t>
  </si>
  <si>
    <t>01318A-1</t>
  </si>
  <si>
    <t>03008U-2</t>
  </si>
  <si>
    <t>04020A-2</t>
  </si>
  <si>
    <t>04026Q-1</t>
  </si>
  <si>
    <t>04026Q-2</t>
  </si>
  <si>
    <t>06033A-2</t>
  </si>
  <si>
    <t>06033A-1</t>
  </si>
  <si>
    <t>08029Q-2</t>
  </si>
  <si>
    <t>08029Q-1</t>
  </si>
  <si>
    <t>18055Q-1</t>
  </si>
  <si>
    <t>18055Q-2</t>
  </si>
  <si>
    <t>21009Q-1</t>
  </si>
  <si>
    <t>21009Q-2</t>
  </si>
  <si>
    <t>22098Q-1</t>
  </si>
  <si>
    <t>22098Q-2</t>
  </si>
  <si>
    <t>26034Q-1</t>
  </si>
  <si>
    <t>26034Q-2</t>
  </si>
  <si>
    <t>44039A-2</t>
  </si>
  <si>
    <t>48046Q-1</t>
  </si>
  <si>
    <t>48046A-1</t>
  </si>
  <si>
    <t>48046Q-2</t>
  </si>
  <si>
    <t>48046A-2</t>
  </si>
  <si>
    <t>48098Q-1</t>
  </si>
  <si>
    <t>48098A-1</t>
  </si>
  <si>
    <t>48098Q-2</t>
  </si>
  <si>
    <t>ACIDO ACETICO GLACIAL  R.A    2.5 L BAKER</t>
  </si>
  <si>
    <t>ACIDO CLORHIDRICO  R.A.  2.5 L  BAKER</t>
  </si>
  <si>
    <t>ALCOHOL n-BUTILICO (n-BUTANOL)   R.A.  4 L. BAKER</t>
  </si>
  <si>
    <t>ALCOHOL DEL 96  20 L BIDON S/MARCA</t>
  </si>
  <si>
    <t>ALCOHOL ETILICO (ETANOL) R.A.  4 L. BAKER</t>
  </si>
  <si>
    <t>ALCOHOL METILICO (METANOL) R.A.  4 L  BAKER</t>
  </si>
  <si>
    <t xml:space="preserve">ALCOHOL METILICO (METANOL)  Q.P.   10 L   </t>
  </si>
  <si>
    <t xml:space="preserve">ALCOHOL METILICO (METANOL)  Q.P   4L  </t>
  </si>
  <si>
    <t xml:space="preserve">ACIDO CLORHIDRICO  Q.P.    4 L </t>
  </si>
  <si>
    <t xml:space="preserve">ACIDO SULFURICO Q. P.  4 L </t>
  </si>
  <si>
    <t>ACIDO SULFURICO R.A.    2.5 L. BAKER</t>
  </si>
  <si>
    <t xml:space="preserve">ACEITE MINERAL (NUJOL )   4 L  </t>
  </si>
  <si>
    <t>AMONIO HIDROXIDO R.A.  4 L. BAKER</t>
  </si>
  <si>
    <t>ACETONITRILO R.A.   4 L. BAKER</t>
  </si>
  <si>
    <t xml:space="preserve">CLOROFORMO  Q.P  4 L  </t>
  </si>
  <si>
    <t xml:space="preserve">DICLOROMETANO (CLORURO DE METILENO)  Q.P.  10 L    </t>
  </si>
  <si>
    <t>DICLOROMETANO (CLORURO DE METILENO)  Q.P.  4 LTS</t>
  </si>
  <si>
    <t>ETER ETILICO  R.A  4 L. BAKER</t>
  </si>
  <si>
    <t xml:space="preserve">GLICERINA  R.A    1L MEYER </t>
  </si>
  <si>
    <t xml:space="preserve">HEXANO  Q.P.  10 L   </t>
  </si>
  <si>
    <t xml:space="preserve">HEXANO Q.P.  4 L   </t>
  </si>
  <si>
    <t>POTASIO HIDROXIDO  R.A. 1 KG MEYER</t>
  </si>
  <si>
    <t xml:space="preserve">PEROXIDO DE HIDROGENO AL 30 %   500 ML </t>
  </si>
  <si>
    <t>SODIO CLORURO  R.A.   1  KG  BAKER</t>
  </si>
  <si>
    <t xml:space="preserve">SODIO HIDROXIDO LENTEJAS Q.P.    1 KG  </t>
  </si>
  <si>
    <t>TETRAHIDROFURANO R.A. 4 L</t>
  </si>
  <si>
    <t xml:space="preserve">TOLUENO Q.P.    4 L  </t>
  </si>
  <si>
    <t xml:space="preserve">TOLUENO R.A.   4 L   </t>
  </si>
  <si>
    <t xml:space="preserve">ACIDO NITRICO Q. P.  4 L  </t>
  </si>
  <si>
    <t xml:space="preserve">ETER ETILICO Q.P.    4 L   </t>
  </si>
  <si>
    <t xml:space="preserve">ETILO DE  ACETATO   Q.P.    4L </t>
  </si>
  <si>
    <t xml:space="preserve">ETILO DE ACETATO Q.P.  10 L </t>
  </si>
  <si>
    <t xml:space="preserve">DETERGENTE  NEUTRO P/LABORATORIO    4 L </t>
  </si>
  <si>
    <t>SODIO CLORURO R.A  500 G BAKER</t>
  </si>
  <si>
    <t xml:space="preserve">SODIO CLORURO ANHIDRO  Q.P.  1KG  </t>
  </si>
  <si>
    <t xml:space="preserve">SODIO SULFATO  ANHIDRO Q.P.  1 KG </t>
  </si>
  <si>
    <t xml:space="preserve">SODIO SULFATO ANHIDRO Q.P.  500 G </t>
  </si>
  <si>
    <t xml:space="preserve">SODIO CLORURO  Q.P.  500 G </t>
  </si>
  <si>
    <t xml:space="preserve">ACETONA   Q.P.  10 L  </t>
  </si>
  <si>
    <t xml:space="preserve">ACETONA  Q.P  4 L  </t>
  </si>
  <si>
    <t xml:space="preserve">ACIDO ACETICO GLACIAL  Q.P.   4L </t>
  </si>
  <si>
    <t xml:space="preserve">SODIO HIDROXIDO R.A.  500 G  BAKER  </t>
  </si>
  <si>
    <t>PINZA DE TRES DEDOS P/REFRIGERANTE C/ NUEZ</t>
  </si>
  <si>
    <t>GUANTE DE HULE LATEX ESTERIL CHICO CAJA C/100PZAS</t>
  </si>
  <si>
    <t>GUANTE DE HULE LATEX ESTERIL MEDIANO CAJA C/100PZAS</t>
  </si>
  <si>
    <t>GUANTE DE HULE LATEX ESTERIL GRANDE CAJA C/100PZAS</t>
  </si>
  <si>
    <t>0201-1</t>
  </si>
  <si>
    <t>LAPIZ PLOMO No. 2</t>
  </si>
  <si>
    <t>0201-2</t>
  </si>
  <si>
    <t>LAPIZ PLOMO No. 2   1/2</t>
  </si>
  <si>
    <t>0205-1</t>
  </si>
  <si>
    <t xml:space="preserve">LAPIZ EN COLOR ROJO </t>
  </si>
  <si>
    <t>0205-2</t>
  </si>
  <si>
    <t>LAPIZ EN COLOR AZUL</t>
  </si>
  <si>
    <t>0218-1</t>
  </si>
  <si>
    <t>0218-2</t>
  </si>
  <si>
    <t xml:space="preserve">BOLIGRAFO PUNTO MEDIANO EN COLOR AZUL
</t>
  </si>
  <si>
    <t>0218-3</t>
  </si>
  <si>
    <t xml:space="preserve">BOLIGRAFO PUNTO MEDIANO EN COLOR ROJO 
</t>
  </si>
  <si>
    <t>0222-1</t>
  </si>
  <si>
    <t>BOLIGRAFO PUNTO FINO EN COLOR  NEGRO</t>
  </si>
  <si>
    <t>0222-2</t>
  </si>
  <si>
    <t xml:space="preserve">BOLIGRAFO PUNTO FINO EN COLOR AZUL </t>
  </si>
  <si>
    <t>0222-3</t>
  </si>
  <si>
    <t>BOLIGRAFO PUNTO FINO EN COLOR ROJO</t>
  </si>
  <si>
    <t>0229-1</t>
  </si>
  <si>
    <t xml:space="preserve">DEDAL DE HULE DEL No. 11
</t>
  </si>
  <si>
    <t>0229-2</t>
  </si>
  <si>
    <t xml:space="preserve">DEDAL DE HULE DEL No.  11 1/2
</t>
  </si>
  <si>
    <t>0229-3</t>
  </si>
  <si>
    <t>0229-4</t>
  </si>
  <si>
    <t xml:space="preserve">DEDAL DE HULE DEL No. 13_x000D_
</t>
  </si>
  <si>
    <t>0233-1</t>
  </si>
  <si>
    <t xml:space="preserve">TINTA P/COJIN DE SELLOS EN COLOR  VIOLETA </t>
  </si>
  <si>
    <t>0233-2</t>
  </si>
  <si>
    <t>TINTA P/COJIN DE SELLOS EN COLOR AZUL</t>
  </si>
  <si>
    <t>0233-3</t>
  </si>
  <si>
    <t>TINTA P/COJIN DE SELLOS EN COLOR NEGRO</t>
  </si>
  <si>
    <t>0233-4</t>
  </si>
  <si>
    <t>TINTA P/COJIN DE SELLOS EN COLOR  ROJO</t>
  </si>
  <si>
    <t>0233-5</t>
  </si>
  <si>
    <t>TINTA P/COJIN DE SELLOS EN COLOR  VERDE</t>
  </si>
  <si>
    <t>0237-1</t>
  </si>
  <si>
    <t xml:space="preserve">MARCADOR RESALTADOR FLUORESCENTE EN COLOR AMARILLO
</t>
  </si>
  <si>
    <t>0237-2</t>
  </si>
  <si>
    <t>0237-3</t>
  </si>
  <si>
    <t xml:space="preserve">MARCADOR RESALTADOR FLUORESCENTE EN  COLOR VERDE
</t>
  </si>
  <si>
    <t>0237-4</t>
  </si>
  <si>
    <t xml:space="preserve">MARCADOR RESALTADOR FLUORESCENTE EN  COLOR NARANJA
</t>
  </si>
  <si>
    <t>0237-5</t>
  </si>
  <si>
    <t xml:space="preserve">MARCADOR RESALTADOR FLUORESCENTE EN  COLOR AZUL
</t>
  </si>
  <si>
    <t>0242-1</t>
  </si>
  <si>
    <t>MARCADOR PUNTO DE POLIESTER EN COLOR NEGRO</t>
  </si>
  <si>
    <t>0242-2</t>
  </si>
  <si>
    <t>MARCADOR PUNTO DE POLIESTER EN COLOR ROJO</t>
  </si>
  <si>
    <t>0242-3</t>
  </si>
  <si>
    <t xml:space="preserve">MARCADOR PUNTO DE POLIESTER EN COLORES  AZUL </t>
  </si>
  <si>
    <t>1019-1</t>
  </si>
  <si>
    <t>1019-2</t>
  </si>
  <si>
    <t>1019-3</t>
  </si>
  <si>
    <t>1052-1</t>
  </si>
  <si>
    <t>1052-2</t>
  </si>
  <si>
    <t>1052-3</t>
  </si>
  <si>
    <t>0412-1</t>
  </si>
  <si>
    <t>LIMPIADOR Y DESINFECTANTE CONCENTRADO CON AROMA, 2L</t>
  </si>
  <si>
    <t>0412-3</t>
  </si>
  <si>
    <t>LIMPIADOR Y DESINFECTANTE CONCENTRADO CON AROMA, 20 L</t>
  </si>
  <si>
    <t>0409-1</t>
  </si>
  <si>
    <t>GUANTE DE LATEX GRABADO COLOR ROJO No.7</t>
  </si>
  <si>
    <t>0409-2</t>
  </si>
  <si>
    <t>GUANTE DE LATEX GRABADO COLOR ROJO No.8</t>
  </si>
  <si>
    <t>0409-3</t>
  </si>
  <si>
    <t>GUANTE DE LATEX GRABADO COLOR ROJO No. 9</t>
  </si>
  <si>
    <t>0409-4</t>
  </si>
  <si>
    <t>GUANTE DE LATEX GRABADO COLOR ROJO No. 10</t>
  </si>
  <si>
    <t>0429</t>
  </si>
  <si>
    <t>MECHUDO DE ALGODÓN DE 500g</t>
  </si>
  <si>
    <t>0430-1</t>
  </si>
  <si>
    <t>PULIDOR MOP GRANDE, RECTANGULAR DE 95 cm, CON BASTÓN DE TUBO GALVANIZADO DE 1.50 m</t>
  </si>
  <si>
    <t>0430-2</t>
  </si>
  <si>
    <t>PULIDOR MOP CHICO, RECTANGULAR DE 60 cm, CON BASTÓN DE TUBO GALVANIZADO DE 1.50 m</t>
  </si>
  <si>
    <t>0434</t>
  </si>
  <si>
    <t>PAPEL HIGIÉNICO JUMBO</t>
  </si>
  <si>
    <t>PAPEL HIGIÉNICO JUNIOR</t>
  </si>
  <si>
    <t>0442</t>
  </si>
  <si>
    <t>CUBREBOCA LISO DOBLE CAPA COLOR AZUL Y BLANCO</t>
  </si>
  <si>
    <t>0449</t>
  </si>
  <si>
    <t>BOLSA TRANSPARENTE MEDIANA 60X90 ROLLO</t>
  </si>
  <si>
    <t>0450</t>
  </si>
  <si>
    <t>0451</t>
  </si>
  <si>
    <t>0760</t>
  </si>
  <si>
    <t>ALCOHOL EN GEL, PRESENTACIÓN 4 L</t>
  </si>
  <si>
    <t>0761</t>
  </si>
  <si>
    <t>CONTENEDOR PARA DESECHOS SANITARIOS</t>
  </si>
  <si>
    <t>0774</t>
  </si>
  <si>
    <t>CUBREBOCAS LAVABLE</t>
  </si>
  <si>
    <t>0020-1</t>
  </si>
  <si>
    <t>CARPETA DE CARTULINA ACCOGRIP SATINADA C/BROCHE METALICO DE PALANCA PAQ. C/4 PZAS COLOR AZUL</t>
  </si>
  <si>
    <t>0020-2</t>
  </si>
  <si>
    <t>CARPETA DE CARTULINA ACCOGRIP SATINADA C/BROCHE METALICO DE PALANCA PAQ. C/4 PZAS COLOR VERDE</t>
  </si>
  <si>
    <t>0020-3</t>
  </si>
  <si>
    <t>CARPETA DE CARTULINA ACCOGRIP SATINADA C/BROCHE METALICO DE PALANCA PAQ. C/4 PZAS COLOR AMARILLO</t>
  </si>
  <si>
    <t>0020-4</t>
  </si>
  <si>
    <t>CARPETA DE CARTULINA ACCOGRIP SATINADA C/BROCHE METALICO DE PALANCA PAQ. C/4 PZAS COLOR AZUL OSCURO</t>
  </si>
  <si>
    <t>0060-1</t>
  </si>
  <si>
    <t>FOLDER ACCOPRESS C/BROCHE BACO T/CARTA PAQ. C/10 PZAS COLOR AZUL</t>
  </si>
  <si>
    <t>0060-2</t>
  </si>
  <si>
    <t>FOLDER ACCOPRESS C/BROCHE BACO T/CARTA PAQ. C/10 PZAS COLOR VERDE</t>
  </si>
  <si>
    <t>0060-3</t>
  </si>
  <si>
    <t>FOLDER ACCOPRESS C/BROCHE BACO T/CARTA PAQ. C/10 PZAS COLOR AMARILLO</t>
  </si>
  <si>
    <t>0060-4</t>
  </si>
  <si>
    <t>FOLDER ACCOPRESS C/BROCHE BACO T/CARTA PAQ. C/10 PZAS COLOR AZUL OSCURO</t>
  </si>
  <si>
    <t>0289-1</t>
  </si>
  <si>
    <t>POST-IT BANDERITAS 3M DISPENSADOR UN SOLO COLOR DE 25x43 mm</t>
  </si>
  <si>
    <t>0289-2</t>
  </si>
  <si>
    <t>POST-IT BANDERITAS 3M DISPENSADOR CON 5 COLORES DE11.9x43.2 MM</t>
  </si>
  <si>
    <t>CUTTER ERGONÓMICO (CORTADOR) MCA. AZOR- CORTY-3500 CHICO (Cuchilla 9 mm)</t>
  </si>
  <si>
    <t>MASCARILLA  TIPO N95  MOD. 3810  (TIPO CONCHA 3M)</t>
  </si>
  <si>
    <t>NAVAJA GRANDE P/CUTTER  1.8 CM ESTUCHE C/10 PZAS.</t>
  </si>
  <si>
    <t>NAVAJA CHICA P/CUTTER 9 MM ESTUCHE C/10 PZAS.</t>
  </si>
  <si>
    <t>TAPETE PARA RATON (MOUSEPAD) MUÑECAS DE GEL</t>
  </si>
  <si>
    <t xml:space="preserve">LAMPARA SORDA COLOR NEGRO  MCA TRUPPER DE 32 cm largo </t>
  </si>
  <si>
    <t>AIRE COMPRIMIDO 660 ML</t>
  </si>
  <si>
    <t>04031Q</t>
  </si>
  <si>
    <t>18169A</t>
  </si>
  <si>
    <t>DIMETIL FORMAMIDA R.A.   4 L   ANALITYKA</t>
  </si>
  <si>
    <t xml:space="preserve">PAPEL KRAFT  PARA ESTERILIZAR DE 61 CM LARGO,  DE 16 Kg </t>
  </si>
  <si>
    <t>CINTA TESTIGO P/VAPOR MCA. TUK</t>
  </si>
  <si>
    <t>ALGODON PLIZADO 300 G</t>
  </si>
  <si>
    <t>VASO DE PRECIPITADO DE 1 L</t>
  </si>
  <si>
    <t>VASO DE PRECIPITADO DE 2 L</t>
  </si>
  <si>
    <t>VASO DE PRECIPITADO DE 4 L</t>
  </si>
  <si>
    <t>MATRAZ ERLENMEYER DE 10 ML</t>
  </si>
  <si>
    <t>MATRAZ ERLENMEYER DE 25 ML</t>
  </si>
  <si>
    <t>MATRAZ ERLENMEYER DE 50 ML</t>
  </si>
  <si>
    <t>MATRAZ ERLENMEYER DE 125 ML</t>
  </si>
  <si>
    <t xml:space="preserve">MATRAZ ERLENMEYER DE 250 ML
</t>
  </si>
  <si>
    <t>MATRAZ ERLENMEYER DE 500 ML</t>
  </si>
  <si>
    <t>MATRAZ ERLENMEYER DE 4 L</t>
  </si>
  <si>
    <t>MATRAZ KITAZATO DE 25 ML</t>
  </si>
  <si>
    <t>MATRAZ KITAZATO DE 50 ML</t>
  </si>
  <si>
    <t>MATRAZ KITAZATO DE 250 ML</t>
  </si>
  <si>
    <t>MATRAZ KITAZATO DE 500 ML</t>
  </si>
  <si>
    <t>MATRAZ KITAZATO DE 2 L</t>
  </si>
  <si>
    <t>MATRAZ VOLUMETRICO DE 1 ML</t>
  </si>
  <si>
    <t>MATRAZ VOLUMETRICO DE 2 ML</t>
  </si>
  <si>
    <t xml:space="preserve">MATRAZ VOLUMETRICO DE 5 ML
</t>
  </si>
  <si>
    <t>MATRAZ VOLUMETRICO DE 10 ML</t>
  </si>
  <si>
    <t>MATRAZ VOLUMETRICO DE 25 ML</t>
  </si>
  <si>
    <t>MATRAZ VOLUMETRICO DE 50 ML</t>
  </si>
  <si>
    <t>MATRAZ VOLUMETRICO DE 200 ML</t>
  </si>
  <si>
    <t>MATRAZ VOLUMETRICO DE 250 ML</t>
  </si>
  <si>
    <t>MATRAZ VOLUMETRICO DE 500 ML</t>
  </si>
  <si>
    <t>MATRAZ VOLUMETRICO DE 2 L</t>
  </si>
  <si>
    <t>EMBUDO DE SEPARACION DE 60 ML</t>
  </si>
  <si>
    <t xml:space="preserve">EMBUDO DE SEPARACION DE 125 ML
</t>
  </si>
  <si>
    <t xml:space="preserve">EMBUDO DE SEPARACION DE 250 ML
</t>
  </si>
  <si>
    <t xml:space="preserve">PISETA DE PLASTICO DE 250 ML
</t>
  </si>
  <si>
    <t>PISETA DE PLASTICO DE 500 ML</t>
  </si>
  <si>
    <t>PAPEL PH 0-14, CAJA C/100 TIRAS REACTIVAS</t>
  </si>
  <si>
    <t>6268-1</t>
  </si>
  <si>
    <t>TAPON DE HULE ##00</t>
  </si>
  <si>
    <t>6268-2</t>
  </si>
  <si>
    <t>TAPON DE HULE ##0</t>
  </si>
  <si>
    <t>6268-3</t>
  </si>
  <si>
    <t>TAPON DE HULE ##1</t>
  </si>
  <si>
    <t>6268-4</t>
  </si>
  <si>
    <t>TAPON DE HULE ##2</t>
  </si>
  <si>
    <t>6268-5</t>
  </si>
  <si>
    <t>TAPON DE HULE ##3</t>
  </si>
  <si>
    <t>6268-6</t>
  </si>
  <si>
    <t>TAPON DE HULE ##4</t>
  </si>
  <si>
    <t>6268-7</t>
  </si>
  <si>
    <t>TAPON DE HULE ##5</t>
  </si>
  <si>
    <t>6268-8</t>
  </si>
  <si>
    <t>TAPON DE HULE ##8</t>
  </si>
  <si>
    <t>6268-9</t>
  </si>
  <si>
    <t>TAPON DE HULE ##8.5</t>
  </si>
  <si>
    <t>6268-10</t>
  </si>
  <si>
    <t>TAPON DE HULE ##9</t>
  </si>
  <si>
    <t>6268-11</t>
  </si>
  <si>
    <t>TAPON DE HULE ##10</t>
  </si>
  <si>
    <t>6268-12</t>
  </si>
  <si>
    <t>TAPON DE HULE ##12</t>
  </si>
  <si>
    <t>PEGAMENTO BLANCO 850, 1L</t>
  </si>
  <si>
    <t xml:space="preserve">ETIQUETAS DE CONTACTO DE 100  X 50 MM.No. 25 color blanco
</t>
  </si>
  <si>
    <t>0812</t>
  </si>
  <si>
    <t>1001</t>
  </si>
  <si>
    <t>JERGA DE HILAZA DE ALGODÓN</t>
  </si>
  <si>
    <t>FUNDA, de repuesto para "MOP", de 95 a 100 cm. de largo.</t>
  </si>
  <si>
    <t>TOALLA DE FLUIDO CENTRICO</t>
  </si>
  <si>
    <t>TOALLA INTERDOBLADA  SANITAS</t>
  </si>
  <si>
    <t>SOBRE AMARILLO T/CARTA IMPRESO ESCUDO  Y LEYENDA  UNAM</t>
  </si>
  <si>
    <t xml:space="preserve">LIBRETA FORMA FRANCESA SIN INDICE
</t>
  </si>
  <si>
    <t xml:space="preserve">PAPEL CARBON T/CARTA
</t>
  </si>
  <si>
    <t xml:space="preserve">CINTA CAMPECHANA P/COCER EXPEDIENTES
</t>
  </si>
  <si>
    <t>AMPLIFICADOR DE VOZ (MICRÓFONO) RECARGABLE PORTÁTIL    MCA TAIKUU</t>
  </si>
  <si>
    <t xml:space="preserve">CORRECTOR LIQUIDO TIPO PLUMA
</t>
  </si>
  <si>
    <t xml:space="preserve">BLOCK RAYADO T/CARTA AMARILLO
</t>
  </si>
  <si>
    <t xml:space="preserve">CINTA DIUREX 24 MM X 65 M.
</t>
  </si>
  <si>
    <t>GOMA BLANCA TIPO PLUMA (BORRADOR RETRACTIL TIPO PLUMA)</t>
  </si>
  <si>
    <t xml:space="preserve">BURETA RECTA DE 25 ML. CON LLAVE DE TEFLÓN
</t>
  </si>
  <si>
    <t>BURETA RECTA DE 50 ML. CON LLAVE DE TEFLÓN</t>
  </si>
  <si>
    <t xml:space="preserve">PIPETAS PASTEUR DE 9 " CAJA CON 250 PZAS.
</t>
  </si>
  <si>
    <t>PROBETA DE VIDRIO GRADUADA DE 5 ML, CLASE A MCA PYREX</t>
  </si>
  <si>
    <t>PROBETA DE VIDRIO GRADUADA DE 10 ML. CLASE A MCA PYREX</t>
  </si>
  <si>
    <t>PROBETA DE VIDRIO GRADUADA DE 25 ML. CLASE A MCA PYREX</t>
  </si>
  <si>
    <t>PROBETA DE VIDRIO GRADUADA DE 50 ML. CLASE A MCA PYREX</t>
  </si>
  <si>
    <t>PROBETA DE VIDRIO GRADUADA DE 100 ML. CLASE A MCA PYREX</t>
  </si>
  <si>
    <t xml:space="preserve">PROBETA DE VIDRIO GRADUADA DE 250 ML. CLASE A MCA PYREX
</t>
  </si>
  <si>
    <t>PROBETA DE VIDRIO GRADUADA DE 500 ML. CLASE A MCA PYREX</t>
  </si>
  <si>
    <t>PAPEL FILTRO FILTRACION MEDIA GRADO #615, PORO 8 MICRA</t>
  </si>
  <si>
    <t>PAPEL FILTRO FILTRACION RAPIDA GRADO #617 PORO 20 MICRA</t>
  </si>
  <si>
    <t xml:space="preserve">ACEITE P/BOMBAS DE VACIO, 4 L    S/MARCA </t>
  </si>
  <si>
    <t>AMONIO HIDROXIDO R. A.    4 L  MEYER</t>
  </si>
  <si>
    <t>ETILENGLICOL  Q.P.  3.5 L  MEYER</t>
  </si>
  <si>
    <t>0416-1</t>
  </si>
  <si>
    <t>0416-2</t>
  </si>
  <si>
    <t xml:space="preserve">BLOCK P/NOTAS AUTOADHERIBLES EN COLOR NEON DE 76 X 76 MM
</t>
  </si>
  <si>
    <t xml:space="preserve">REGISTRADOR P/CORRESPONDENCIA T/CARTA
</t>
  </si>
  <si>
    <t xml:space="preserve">BOLIGRAFO PUNTO MEDIANO EN COLOR  NEGRO
</t>
  </si>
  <si>
    <t xml:space="preserve">REGLA DE ALUMINIO DE 30 CMS.
</t>
  </si>
  <si>
    <t xml:space="preserve">CLIP MARIPOSA No. 2
</t>
  </si>
  <si>
    <t xml:space="preserve">COJIN P/SELLOS DEL No. 2, almohadilla de 16 x 8 cm.
</t>
  </si>
  <si>
    <t xml:space="preserve">LIGA DE HULE NATURAL DEL No. 18
</t>
  </si>
  <si>
    <t xml:space="preserve">CORDON BASTA DE ALGODON
</t>
  </si>
  <si>
    <t xml:space="preserve">CALENDARIO DE ESCRITORIO
</t>
  </si>
  <si>
    <t>MARCADOR INDELEBLE PUNTO FINO NEGRO</t>
  </si>
  <si>
    <t>MARCADOR INDELEBLE PUNTO FINO ROJO</t>
  </si>
  <si>
    <t>MARCADOR INDELEBLE PUNTO FINO AZUL</t>
  </si>
  <si>
    <t>BLOCK POLIZA DE CHEQUES</t>
  </si>
  <si>
    <t>PLUMIN PUNTO EXTRAFINO EN COLOR NEGRO</t>
  </si>
  <si>
    <t>PLUMIN PUNTO EXTRAFINO EN COLOR AZUL</t>
  </si>
  <si>
    <t>PLUMIN PUNTO EXTRAFINO EN COLOR ROJO</t>
  </si>
  <si>
    <t>REVISTERO T/CARTA</t>
  </si>
  <si>
    <t xml:space="preserve">REVISTERO T/OFICIO_x000D_
</t>
  </si>
  <si>
    <t>DVD-R GRABABLE DE 4.7 GB</t>
  </si>
  <si>
    <t>PORTA ACETATOS (PROTECTOR DE HOJAS ) TAMAÑO CARTA C/100</t>
  </si>
  <si>
    <t>PAPEL FILTRO FILTRACION LENTA  GRADO #609, PORO 1 MICRA</t>
  </si>
  <si>
    <t>DICLOROMETANO (CLORURO DE METILENO) R.A.   4 L. ALVI(BAKER)</t>
  </si>
  <si>
    <t>18170A</t>
  </si>
  <si>
    <t>DIMETIL FORMAMIDA R.A.   4 L   BAKER</t>
  </si>
  <si>
    <t>44039Q-1</t>
  </si>
  <si>
    <t>44039Q-2</t>
  </si>
  <si>
    <t>POTASIO HIDROXIDO  R.A. 1 KG RIQUE</t>
  </si>
  <si>
    <t>18181A</t>
  </si>
  <si>
    <t>DIMETIL SULFOXIDO R.A , 4L</t>
  </si>
  <si>
    <t xml:space="preserve">CEPILLO DE VINILO PARA TALLAR BASE INCLINADA BASTON MADERA
</t>
  </si>
  <si>
    <t>FUNDA, de repuesto para "MOP", de 65 a 70 cm. de chico</t>
  </si>
  <si>
    <t xml:space="preserve">RECOGEDOR METÁLICO CON BASTÓN </t>
  </si>
  <si>
    <t>0060-5</t>
  </si>
  <si>
    <t>FOLDER ACCOPRESS C/BROCHE BACO T/CARTA PAQ. C/10 PZAS COLOR ROJO</t>
  </si>
  <si>
    <t xml:space="preserve">GRAPA DE 12.5 MM.
</t>
  </si>
  <si>
    <t>CORRECTOR LIQUIDO P/ESCRITURA 18 ML</t>
  </si>
  <si>
    <t xml:space="preserve">DESPACHADOR P/CINTA ADHESIVA DE 24 MM.
</t>
  </si>
  <si>
    <t>MARCADOR PARA PIZARRON</t>
  </si>
  <si>
    <t>ETIQUETAS  AVERY  No. 5162 LASER CON 1400 etiquetas</t>
  </si>
  <si>
    <t xml:space="preserve">REPUESTO P/GOMA TIPO LAPIZ
</t>
  </si>
  <si>
    <t>ETER ETILICO  R.A.   4 L   MEYER</t>
  </si>
  <si>
    <t>600H2O</t>
  </si>
  <si>
    <t>AGUA DESTILADA 20L</t>
  </si>
  <si>
    <t xml:space="preserve">JABÓN ESPUMA PARA MANOS, 20L </t>
  </si>
  <si>
    <t>0775</t>
  </si>
  <si>
    <t xml:space="preserve">MASKING TAPE 24 MM. X 50 M.
</t>
  </si>
  <si>
    <t>CINTA MAGICA MATE DE 12 mm X 33 m</t>
  </si>
  <si>
    <t xml:space="preserve">GOMA DE MIGAJON P/BORRAR LAPIZ DE GRAFITO
</t>
  </si>
  <si>
    <t xml:space="preserve">TIJERAS METALICAS No. 6
</t>
  </si>
  <si>
    <t>GUANTE DE PIEL SUAVE (CARNAZA)</t>
  </si>
  <si>
    <t>PRECIO</t>
  </si>
  <si>
    <t>ALCOHOL iso-PROPILICO   1 L   MEYER</t>
  </si>
  <si>
    <t>POTASIO HIDROXIDO R.A.  500 G RIQUE</t>
  </si>
  <si>
    <t>BOMBA DE HULE P/DESTAPAR W.C. CON BASTÓN DE MADERA 40 CM</t>
  </si>
  <si>
    <t>426-1</t>
  </si>
  <si>
    <t>426-2</t>
  </si>
  <si>
    <t>ESCOBA TIPO CEPILLO DE VINILO C/BASTON DE MADERA  MCA PERICO</t>
  </si>
  <si>
    <t>CEPILLO P/ W.C. DE PLÁSTICO SIN BASE, MAC PERICO</t>
  </si>
  <si>
    <t>DESENGRASANTE INDUSTRIAL MULTIUSOS EN BIDON DE 20 LTS.</t>
  </si>
  <si>
    <t>ATOMIZADOR USO RUDO, ENVASE PLÁSTICO  CAPACIDAD 500 ML</t>
  </si>
  <si>
    <t>ATOMIZADOR USO RUDO, ENVASE PLÁSTICO  CAPACIDAD 1000 ML</t>
  </si>
  <si>
    <t>0015</t>
  </si>
  <si>
    <t>SOBRE BLANCO T/OFICIO C/ESCUDO Y LEYENDA DE LA UNAM  PAQ. C/100</t>
  </si>
  <si>
    <t xml:space="preserve">SOBRE C/VENTANA T/OFICIO CON ESCUDO DE LA UNAM
</t>
  </si>
  <si>
    <t xml:space="preserve">CINTA CANELA  48X 50 m </t>
  </si>
  <si>
    <t xml:space="preserve">CLIP DEL No. 3
</t>
  </si>
  <si>
    <t xml:space="preserve">DEDAL DE HULE DEL No. 12 
</t>
  </si>
  <si>
    <t xml:space="preserve">MARCADOR RESALTADOR FLUORESCENTE EN  COLOR  ROSA._x000D_
</t>
  </si>
  <si>
    <t xml:space="preserve">PAPEL ALUMINIO, EN  ROLLO 15.2  m  X 30.4 cm, MARCA REYNOLDS WRAP </t>
  </si>
  <si>
    <t>MATRAZ ERLENMEYER DE 1 L</t>
  </si>
  <si>
    <t>MATRAZ KITAZATO DE 125 ML</t>
  </si>
  <si>
    <t>MATRAZ KITAZATO DE 1 L</t>
  </si>
  <si>
    <t>PAPEL FILTRO WHATMAAN No. 1 DE 5.5 CM</t>
  </si>
  <si>
    <t>PAPEL FILTRO WHATMAN No. 40 DE 9 CM</t>
  </si>
  <si>
    <t xml:space="preserve">SODIO BICARBONATO R.A. 500 G, </t>
  </si>
  <si>
    <t>48013A</t>
  </si>
  <si>
    <t>SODIO BICARBONATO Q.P.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</si>
</sst>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sz val="8"/>
      <name val="Calibri Light"/>
      <family val="2"/>
    </font>
    <font>
      <b/>
      <sz val="9"/>
      <name val="Calibri Light"/>
      <family val="2"/>
    </font>
    <font>
      <b/>
      <sz val="6"/>
      <name val="Calibri Light"/>
      <family val="2"/>
    </font>
    <font>
      <b/>
      <sz val="5"/>
      <name val="Calibri Light"/>
      <family val="2"/>
    </font>
    <font>
      <sz val="6"/>
      <name val="Calibri Light"/>
      <family val="2"/>
    </font>
    <font>
      <sz val="8"/>
      <name val="Calibri Light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theme="5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17" fillId="0" borderId="0"/>
  </cellStyleXfs>
  <cellXfs count="1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44" fontId="0" fillId="0" borderId="0" xfId="1" applyFont="1"/>
    <xf numFmtId="0" fontId="7" fillId="0" borderId="0" xfId="0" applyFont="1"/>
    <xf numFmtId="44" fontId="7" fillId="0" borderId="0" xfId="1" applyFont="1" applyAlignment="1">
      <alignment horizontal="left"/>
    </xf>
    <xf numFmtId="44" fontId="1" fillId="0" borderId="0" xfId="1" applyFont="1"/>
    <xf numFmtId="0" fontId="4" fillId="2" borderId="0" xfId="3" applyFont="1" applyFill="1"/>
    <xf numFmtId="0" fontId="17" fillId="2" borderId="0" xfId="3" applyFill="1" applyProtection="1">
      <protection locked="0"/>
    </xf>
    <xf numFmtId="0" fontId="17" fillId="0" borderId="0" xfId="3"/>
    <xf numFmtId="0" fontId="3" fillId="2" borderId="0" xfId="3" applyFont="1" applyFill="1"/>
    <xf numFmtId="0" fontId="5" fillId="2" borderId="0" xfId="3" applyFont="1" applyFill="1"/>
    <xf numFmtId="0" fontId="17" fillId="2" borderId="0" xfId="3" applyFill="1"/>
    <xf numFmtId="14" fontId="11" fillId="2" borderId="2" xfId="3" applyNumberFormat="1" applyFont="1" applyFill="1" applyBorder="1" applyAlignment="1">
      <alignment vertical="center"/>
    </xf>
    <xf numFmtId="0" fontId="17" fillId="2" borderId="0" xfId="3" applyFill="1" applyAlignment="1">
      <alignment vertical="center"/>
    </xf>
    <xf numFmtId="0" fontId="17" fillId="0" borderId="0" xfId="3" applyAlignment="1">
      <alignment vertical="center"/>
    </xf>
    <xf numFmtId="0" fontId="11" fillId="2" borderId="3" xfId="3" applyFont="1" applyFill="1" applyBorder="1" applyAlignment="1" applyProtection="1">
      <alignment horizontal="center" vertical="center"/>
      <protection locked="0"/>
    </xf>
    <xf numFmtId="0" fontId="11" fillId="2" borderId="2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/>
    <xf numFmtId="0" fontId="11" fillId="2" borderId="0" xfId="3" applyFont="1" applyFill="1" applyAlignment="1">
      <alignment vertical="top"/>
    </xf>
    <xf numFmtId="0" fontId="6" fillId="2" borderId="0" xfId="3" applyFont="1" applyFill="1"/>
    <xf numFmtId="0" fontId="13" fillId="2" borderId="0" xfId="3" applyFont="1" applyFill="1" applyAlignment="1" applyProtection="1">
      <alignment horizontal="center" vertical="top"/>
      <protection locked="0"/>
    </xf>
    <xf numFmtId="0" fontId="11" fillId="2" borderId="2" xfId="3" applyFont="1" applyFill="1" applyBorder="1" applyAlignment="1">
      <alignment vertical="center"/>
    </xf>
    <xf numFmtId="0" fontId="11" fillId="2" borderId="0" xfId="3" applyFont="1" applyFill="1" applyProtection="1">
      <protection locked="0"/>
    </xf>
    <xf numFmtId="0" fontId="6" fillId="2" borderId="0" xfId="3" applyFont="1" applyFill="1" applyProtection="1">
      <protection locked="0"/>
    </xf>
    <xf numFmtId="0" fontId="14" fillId="2" borderId="0" xfId="3" applyFont="1" applyFill="1" applyAlignment="1">
      <alignment vertical="top"/>
    </xf>
    <xf numFmtId="0" fontId="15" fillId="2" borderId="0" xfId="3" applyFont="1" applyFill="1"/>
    <xf numFmtId="0" fontId="11" fillId="2" borderId="0" xfId="3" applyFont="1" applyFill="1" applyAlignment="1">
      <alignment vertical="center"/>
    </xf>
    <xf numFmtId="0" fontId="14" fillId="2" borderId="0" xfId="3" applyFont="1" applyFill="1" applyAlignment="1">
      <alignment vertical="top" wrapText="1"/>
    </xf>
    <xf numFmtId="0" fontId="15" fillId="2" borderId="0" xfId="3" applyFont="1" applyFill="1" applyAlignment="1">
      <alignment horizontal="left"/>
    </xf>
    <xf numFmtId="0" fontId="14" fillId="2" borderId="0" xfId="3" applyFont="1" applyFill="1" applyAlignment="1">
      <alignment horizontal="center" vertical="top"/>
    </xf>
    <xf numFmtId="0" fontId="10" fillId="3" borderId="1" xfId="3" applyFont="1" applyFill="1" applyBorder="1" applyAlignment="1">
      <alignment horizontal="center" vertical="center"/>
    </xf>
    <xf numFmtId="0" fontId="11" fillId="0" borderId="12" xfId="3" applyFont="1" applyBorder="1" applyAlignment="1">
      <alignment vertical="center"/>
    </xf>
    <xf numFmtId="0" fontId="11" fillId="0" borderId="16" xfId="3" applyFont="1" applyBorder="1" applyAlignment="1">
      <alignment vertical="center"/>
    </xf>
    <xf numFmtId="0" fontId="11" fillId="0" borderId="20" xfId="3" applyFont="1" applyBorder="1" applyAlignment="1">
      <alignment vertical="center"/>
    </xf>
    <xf numFmtId="0" fontId="10" fillId="2" borderId="0" xfId="3" applyFont="1" applyFill="1"/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wrapText="1"/>
    </xf>
    <xf numFmtId="0" fontId="10" fillId="2" borderId="0" xfId="3" applyFont="1" applyFill="1" applyAlignment="1">
      <alignment vertical="center" wrapText="1"/>
    </xf>
    <xf numFmtId="0" fontId="15" fillId="0" borderId="0" xfId="3" applyFont="1"/>
    <xf numFmtId="0" fontId="17" fillId="0" borderId="0" xfId="3" applyProtection="1">
      <protection locked="0"/>
    </xf>
    <xf numFmtId="0" fontId="19" fillId="0" borderId="23" xfId="0" applyFont="1" applyBorder="1" applyAlignment="1">
      <alignment horizontal="left"/>
    </xf>
    <xf numFmtId="0" fontId="19" fillId="0" borderId="23" xfId="0" applyFont="1" applyBorder="1"/>
    <xf numFmtId="0" fontId="18" fillId="0" borderId="23" xfId="0" applyFont="1" applyBorder="1"/>
    <xf numFmtId="44" fontId="19" fillId="0" borderId="25" xfId="1" applyFont="1" applyBorder="1"/>
    <xf numFmtId="49" fontId="18" fillId="0" borderId="1" xfId="0" applyNumberFormat="1" applyFont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9" fillId="0" borderId="5" xfId="0" applyFont="1" applyBorder="1" applyAlignment="1">
      <alignment horizontal="left"/>
    </xf>
    <xf numFmtId="0" fontId="19" fillId="0" borderId="3" xfId="0" applyFont="1" applyBorder="1" applyAlignment="1">
      <alignment wrapText="1"/>
    </xf>
    <xf numFmtId="0" fontId="18" fillId="0" borderId="3" xfId="0" applyFont="1" applyBorder="1"/>
    <xf numFmtId="44" fontId="19" fillId="0" borderId="3" xfId="1" applyFont="1" applyBorder="1"/>
    <xf numFmtId="0" fontId="23" fillId="5" borderId="5" xfId="0" applyFont="1" applyFill="1" applyBorder="1" applyAlignment="1">
      <alignment horizontal="left"/>
    </xf>
    <xf numFmtId="0" fontId="23" fillId="5" borderId="3" xfId="0" applyFont="1" applyFill="1" applyBorder="1"/>
    <xf numFmtId="44" fontId="23" fillId="5" borderId="22" xfId="1" applyFont="1" applyFill="1" applyBorder="1"/>
    <xf numFmtId="0" fontId="18" fillId="2" borderId="1" xfId="0" applyFont="1" applyFill="1" applyBorder="1"/>
    <xf numFmtId="0" fontId="15" fillId="2" borderId="0" xfId="3" applyFont="1" applyFill="1" applyAlignment="1">
      <alignment horizontal="center"/>
    </xf>
    <xf numFmtId="0" fontId="11" fillId="2" borderId="0" xfId="3" applyFont="1" applyFill="1" applyAlignment="1">
      <alignment horizontal="center" vertical="center"/>
    </xf>
    <xf numFmtId="0" fontId="15" fillId="2" borderId="2" xfId="3" applyFont="1" applyFill="1" applyBorder="1" applyAlignment="1">
      <alignment horizontal="center"/>
    </xf>
    <xf numFmtId="0" fontId="10" fillId="2" borderId="2" xfId="3" applyFont="1" applyFill="1" applyBorder="1" applyAlignment="1">
      <alignment horizontal="center"/>
    </xf>
    <xf numFmtId="0" fontId="11" fillId="2" borderId="2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 wrapText="1"/>
    </xf>
    <xf numFmtId="0" fontId="10" fillId="2" borderId="0" xfId="3" applyFont="1" applyFill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/>
    </xf>
    <xf numFmtId="6" fontId="11" fillId="0" borderId="12" xfId="3" applyNumberFormat="1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0" fillId="2" borderId="0" xfId="3" applyFont="1" applyFill="1" applyAlignment="1">
      <alignment horizontal="left"/>
    </xf>
    <xf numFmtId="0" fontId="10" fillId="2" borderId="0" xfId="3" applyFont="1" applyFill="1" applyAlignment="1" applyProtection="1">
      <alignment horizontal="right"/>
      <protection locked="0"/>
    </xf>
    <xf numFmtId="0" fontId="11" fillId="2" borderId="2" xfId="3" applyFont="1" applyFill="1" applyBorder="1" applyAlignment="1" applyProtection="1">
      <alignment horizontal="center" vertical="top"/>
      <protection locked="0"/>
    </xf>
    <xf numFmtId="0" fontId="12" fillId="4" borderId="0" xfId="3" applyFont="1" applyFill="1" applyAlignment="1">
      <alignment horizontal="center" vertical="top" wrapText="1"/>
    </xf>
    <xf numFmtId="0" fontId="15" fillId="2" borderId="0" xfId="3" applyFont="1" applyFill="1" applyAlignment="1">
      <alignment horizontal="left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8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/>
    </xf>
    <xf numFmtId="0" fontId="11" fillId="2" borderId="2" xfId="3" applyFont="1" applyFill="1" applyBorder="1" applyAlignment="1">
      <alignment horizontal="left" vertical="center"/>
    </xf>
    <xf numFmtId="0" fontId="10" fillId="2" borderId="2" xfId="3" applyFont="1" applyFill="1" applyBorder="1" applyAlignment="1" applyProtection="1">
      <alignment horizontal="center"/>
      <protection locked="0"/>
    </xf>
    <xf numFmtId="0" fontId="10" fillId="2" borderId="5" xfId="3" applyFont="1" applyFill="1" applyBorder="1" applyAlignment="1" applyProtection="1">
      <alignment horizontal="center"/>
      <protection locked="0"/>
    </xf>
    <xf numFmtId="0" fontId="12" fillId="2" borderId="4" xfId="3" applyFont="1" applyFill="1" applyBorder="1" applyAlignment="1">
      <alignment horizontal="center" vertical="top"/>
    </xf>
    <xf numFmtId="0" fontId="13" fillId="2" borderId="0" xfId="3" applyFont="1" applyFill="1" applyAlignment="1" applyProtection="1">
      <alignment horizontal="center" vertical="top"/>
      <protection locked="0"/>
    </xf>
    <xf numFmtId="0" fontId="8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horizontal="right"/>
    </xf>
    <xf numFmtId="0" fontId="6" fillId="2" borderId="2" xfId="3" applyFont="1" applyFill="1" applyBorder="1" applyAlignment="1">
      <alignment horizontal="center" vertical="center"/>
    </xf>
    <xf numFmtId="0" fontId="18" fillId="2" borderId="24" xfId="0" applyFont="1" applyFill="1" applyBorder="1"/>
    <xf numFmtId="49" fontId="18" fillId="2" borderId="23" xfId="0" applyNumberFormat="1" applyFont="1" applyFill="1" applyBorder="1"/>
    <xf numFmtId="44" fontId="18" fillId="0" borderId="0" xfId="1" applyFont="1"/>
    <xf numFmtId="0" fontId="20" fillId="2" borderId="1" xfId="0" applyFont="1" applyFill="1" applyBorder="1"/>
    <xf numFmtId="49" fontId="18" fillId="2" borderId="1" xfId="0" applyNumberFormat="1" applyFont="1" applyFill="1" applyBorder="1" applyAlignment="1">
      <alignment horizontal="left"/>
    </xf>
    <xf numFmtId="49" fontId="18" fillId="2" borderId="1" xfId="0" applyNumberFormat="1" applyFont="1" applyFill="1" applyBorder="1"/>
    <xf numFmtId="44" fontId="18" fillId="2" borderId="0" xfId="1" applyFont="1" applyFill="1"/>
    <xf numFmtId="0" fontId="18" fillId="2" borderId="1" xfId="0" quotePrefix="1" applyFont="1" applyFill="1" applyBorder="1"/>
    <xf numFmtId="0" fontId="18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wrapText="1"/>
    </xf>
    <xf numFmtId="0" fontId="18" fillId="2" borderId="23" xfId="0" applyFont="1" applyFill="1" applyBorder="1" applyAlignment="1">
      <alignment wrapText="1"/>
    </xf>
    <xf numFmtId="0" fontId="18" fillId="0" borderId="1" xfId="0" applyFont="1" applyBorder="1" applyAlignment="1">
      <alignment horizontal="left"/>
    </xf>
    <xf numFmtId="0" fontId="22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49" fontId="18" fillId="0" borderId="1" xfId="0" applyNumberFormat="1" applyFont="1" applyBorder="1" applyAlignment="1">
      <alignment wrapText="1"/>
    </xf>
    <xf numFmtId="44" fontId="18" fillId="0" borderId="0" xfId="1" applyFont="1" applyAlignment="1"/>
    <xf numFmtId="44" fontId="18" fillId="0" borderId="1" xfId="1" applyFont="1" applyFill="1" applyBorder="1"/>
    <xf numFmtId="44" fontId="18" fillId="2" borderId="1" xfId="1" applyFont="1" applyFill="1" applyBorder="1"/>
    <xf numFmtId="44" fontId="21" fillId="2" borderId="0" xfId="1" applyFont="1" applyFill="1"/>
    <xf numFmtId="44" fontId="18" fillId="0" borderId="1" xfId="1" applyFont="1" applyBorder="1"/>
    <xf numFmtId="0" fontId="24" fillId="2" borderId="1" xfId="0" applyFont="1" applyFill="1" applyBorder="1"/>
    <xf numFmtId="0" fontId="24" fillId="6" borderId="23" xfId="0" applyFont="1" applyFill="1" applyBorder="1" applyAlignment="1">
      <alignment horizontal="left"/>
    </xf>
    <xf numFmtId="44" fontId="24" fillId="2" borderId="0" xfId="1" applyFont="1" applyFill="1" applyBorder="1"/>
    <xf numFmtId="0" fontId="24" fillId="2" borderId="1" xfId="0" applyFont="1" applyFill="1" applyBorder="1" applyAlignment="1">
      <alignment wrapText="1"/>
    </xf>
    <xf numFmtId="0" fontId="24" fillId="0" borderId="23" xfId="0" applyFont="1" applyBorder="1" applyAlignment="1">
      <alignment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Normal 3" xfId="3" xr:uid="{067F26B5-FDEA-44FA-8880-CD156D86EBF7}"/>
  </cellStyles>
  <dxfs count="33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theme="0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theme="5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99FF33"/>
      <color rgb="FF46CBEA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</xdr:colOff>
      <xdr:row>0</xdr:row>
      <xdr:rowOff>0</xdr:rowOff>
    </xdr:from>
    <xdr:to>
      <xdr:col>9</xdr:col>
      <xdr:colOff>30480</xdr:colOff>
      <xdr:row>3</xdr:row>
      <xdr:rowOff>0</xdr:rowOff>
    </xdr:to>
    <xdr:cxnSp macro="">
      <xdr:nvCxnSpPr>
        <xdr:cNvPr id="3" name="Autoforma 453">
          <a:extLst>
            <a:ext uri="{FF2B5EF4-FFF2-40B4-BE49-F238E27FC236}">
              <a16:creationId xmlns:a16="http://schemas.microsoft.com/office/drawing/2014/main" id="{F8694BCE-B116-4F58-8158-1E4A4BA03DBC}"/>
            </a:ext>
          </a:extLst>
        </xdr:cNvPr>
        <xdr:cNvCxnSpPr>
          <a:cxnSpLocks noChangeShapeType="1"/>
        </xdr:cNvCxnSpPr>
      </xdr:nvCxnSpPr>
      <xdr:spPr bwMode="auto">
        <a:xfrm>
          <a:off x="1722120" y="0"/>
          <a:ext cx="0" cy="68580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30480</xdr:colOff>
      <xdr:row>0</xdr:row>
      <xdr:rowOff>38100</xdr:rowOff>
    </xdr:from>
    <xdr:to>
      <xdr:col>2</xdr:col>
      <xdr:colOff>259080</xdr:colOff>
      <xdr:row>2</xdr:row>
      <xdr:rowOff>198120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3821BD-83DC-4713-9E79-F2ED50C3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8100"/>
          <a:ext cx="6096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25</xdr:col>
      <xdr:colOff>175260</xdr:colOff>
      <xdr:row>3</xdr:row>
      <xdr:rowOff>0</xdr:rowOff>
    </xdr:to>
    <xdr:cxnSp macro="">
      <xdr:nvCxnSpPr>
        <xdr:cNvPr id="5" name="Autoforma 452">
          <a:extLst>
            <a:ext uri="{FF2B5EF4-FFF2-40B4-BE49-F238E27FC236}">
              <a16:creationId xmlns:a16="http://schemas.microsoft.com/office/drawing/2014/main" id="{7272D73B-BE00-4C8C-BA8C-2A07DD65FED2}"/>
            </a:ext>
          </a:extLst>
        </xdr:cNvPr>
        <xdr:cNvCxnSpPr>
          <a:cxnSpLocks noChangeShapeType="1"/>
        </xdr:cNvCxnSpPr>
      </xdr:nvCxnSpPr>
      <xdr:spPr bwMode="auto">
        <a:xfrm>
          <a:off x="0" y="685800"/>
          <a:ext cx="6842760" cy="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4</xdr:col>
      <xdr:colOff>189230</xdr:colOff>
      <xdr:row>0</xdr:row>
      <xdr:rowOff>105410</xdr:rowOff>
    </xdr:from>
    <xdr:to>
      <xdr:col>8</xdr:col>
      <xdr:colOff>15875</xdr:colOff>
      <xdr:row>2</xdr:row>
      <xdr:rowOff>172085</xdr:rowOff>
    </xdr:to>
    <xdr:pic>
      <xdr:nvPicPr>
        <xdr:cNvPr id="6" name="Imagen 5" descr="Resultado de imagen para FACULTAD DE QUIMICA LOGO">
          <a:extLst>
            <a:ext uri="{FF2B5EF4-FFF2-40B4-BE49-F238E27FC236}">
              <a16:creationId xmlns:a16="http://schemas.microsoft.com/office/drawing/2014/main" id="{BD0AD117-2872-4860-9A56-556DE777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230" y="105410"/>
          <a:ext cx="55054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1" displayName="Tabla1" ref="A4:D44" headerRowDxfId="32" dataDxfId="16">
  <sortState xmlns:xlrd2="http://schemas.microsoft.com/office/spreadsheetml/2017/richdata2" ref="A5:D26">
    <sortCondition ref="A5"/>
  </sortState>
  <tableColumns count="4">
    <tableColumn id="1" xr3:uid="{00000000-0010-0000-0000-000001000000}" name="Clave " totalsRowLabel="Total" dataDxfId="15" totalsRowDxfId="31"/>
    <tableColumn id="2" xr3:uid="{00000000-0010-0000-0000-000002000000}" name="Descripción" dataDxfId="14" totalsRowDxfId="30"/>
    <tableColumn id="3" xr3:uid="{00000000-0010-0000-0000-000003000000}" name="Unidad" dataDxfId="9" totalsRowDxfId="29"/>
    <tableColumn id="4" xr3:uid="{00000000-0010-0000-0000-000004000000}" name="Precio" totalsRowFunction="sum" dataDxfId="8" dataCellStyle="Moneda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1:D154" totalsRowShown="0" headerRowDxfId="28" dataDxfId="26" headerRowBorderDxfId="27" tableBorderDxfId="25" totalsRowBorderDxfId="24">
  <sortState xmlns:xlrd2="http://schemas.microsoft.com/office/spreadsheetml/2017/richdata2" ref="A2:C170">
    <sortCondition ref="A2"/>
  </sortState>
  <tableColumns count="4">
    <tableColumn id="1" xr3:uid="{00000000-0010-0000-0100-000001000000}" name="Clave " dataDxfId="13"/>
    <tableColumn id="2" xr3:uid="{00000000-0010-0000-0100-000002000000}" name="Descripción" dataDxfId="12"/>
    <tableColumn id="4" xr3:uid="{00000000-0010-0000-0100-000004000000}" name="Unidad" dataDxfId="11"/>
    <tableColumn id="8" xr3:uid="{8E4EF28A-5B8C-432F-8ED0-8A5D18125525}" name="PRECIO" dataDxfId="10" dataCellStyle="Moneda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3:D116" totalsRowShown="0" headerRowDxfId="23" dataDxfId="22">
  <sortState xmlns:xlrd2="http://schemas.microsoft.com/office/spreadsheetml/2017/richdata2" ref="A4:C116">
    <sortCondition ref="A4"/>
  </sortState>
  <tableColumns count="4">
    <tableColumn id="1" xr3:uid="{00000000-0010-0000-0200-000001000000}" name="Clave " dataDxfId="6"/>
    <tableColumn id="2" xr3:uid="{00000000-0010-0000-0200-000002000000}" name="Descripción" dataDxfId="4"/>
    <tableColumn id="3" xr3:uid="{00000000-0010-0000-0200-000003000000}" name="Unidad" dataDxfId="5"/>
    <tableColumn id="8" xr3:uid="{CA3E0D2A-A87A-492C-9AF5-0B00610A4782}" name="PRECIO" dataDxfId="7" dataCellStyle="Moned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a42" displayName="Tabla42" ref="A1:D71" totalsRowShown="0" headerRowDxfId="21" dataDxfId="19" headerRowBorderDxfId="20" tableBorderDxfId="18" totalsRowBorderDxfId="17">
  <sortState xmlns:xlrd2="http://schemas.microsoft.com/office/spreadsheetml/2017/richdata2" ref="A2:D632">
    <sortCondition ref="A2"/>
  </sortState>
  <tableColumns count="4">
    <tableColumn id="1" xr3:uid="{00000000-0010-0000-0300-000001000000}" name="Clave " dataDxfId="2"/>
    <tableColumn id="2" xr3:uid="{00000000-0010-0000-0300-000002000000}" name="Descripción" dataDxfId="0"/>
    <tableColumn id="4" xr3:uid="{00000000-0010-0000-0300-000004000000}" name="Unidad" dataDxfId="1"/>
    <tableColumn id="5" xr3:uid="{00000000-0010-0000-0300-000005000000}" name="PRECIO" dataDxfId="3" dataCellStyle="Moneda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3399"/>
    <pageSetUpPr fitToPage="1"/>
  </sheetPr>
  <dimension ref="A4:D44"/>
  <sheetViews>
    <sheetView showGridLines="0" showRowColHeaders="0" showRuler="0" view="pageLayout" zoomScale="130" zoomScaleNormal="100" zoomScalePageLayoutView="130" workbookViewId="0">
      <selection activeCell="B16" sqref="B16"/>
    </sheetView>
  </sheetViews>
  <sheetFormatPr baseColWidth="10" defaultRowHeight="14.15" x14ac:dyDescent="0.25"/>
  <cols>
    <col min="1" max="1" width="8.5" customWidth="1"/>
    <col min="2" max="2" width="56.75" bestFit="1" customWidth="1"/>
    <col min="3" max="3" width="10.125" customWidth="1"/>
    <col min="4" max="4" width="12.5" style="3" bestFit="1" customWidth="1"/>
  </cols>
  <sheetData>
    <row r="4" spans="1:4" x14ac:dyDescent="0.25">
      <c r="A4" s="1" t="s">
        <v>2</v>
      </c>
      <c r="B4" s="2" t="s">
        <v>3</v>
      </c>
      <c r="C4" s="2" t="s">
        <v>1</v>
      </c>
      <c r="D4" s="6" t="s">
        <v>0</v>
      </c>
    </row>
    <row r="5" spans="1:4" x14ac:dyDescent="0.25">
      <c r="A5" s="55" t="s">
        <v>309</v>
      </c>
      <c r="B5" s="110" t="s">
        <v>594</v>
      </c>
      <c r="C5" s="55" t="s">
        <v>176</v>
      </c>
      <c r="D5" s="108">
        <f>(436* 1.16)/19</f>
        <v>26.61894736842105</v>
      </c>
    </row>
    <row r="6" spans="1:4" x14ac:dyDescent="0.25">
      <c r="A6" s="55" t="s">
        <v>310</v>
      </c>
      <c r="B6" s="110" t="s">
        <v>300</v>
      </c>
      <c r="C6" s="55" t="s">
        <v>176</v>
      </c>
      <c r="D6" s="108">
        <f>(313.07/25)</f>
        <v>12.5228</v>
      </c>
    </row>
    <row r="7" spans="1:4" x14ac:dyDescent="0.25">
      <c r="A7" s="105" t="s">
        <v>311</v>
      </c>
      <c r="B7" s="111" t="s">
        <v>301</v>
      </c>
      <c r="C7" s="105" t="s">
        <v>6</v>
      </c>
      <c r="D7" s="108">
        <f>(359.1/10)*1.16</f>
        <v>41.6556</v>
      </c>
    </row>
    <row r="8" spans="1:4" x14ac:dyDescent="0.25">
      <c r="A8" s="55" t="s">
        <v>312</v>
      </c>
      <c r="B8" s="110" t="s">
        <v>177</v>
      </c>
      <c r="C8" s="55" t="s">
        <v>6</v>
      </c>
      <c r="D8" s="108">
        <f>154.48</f>
        <v>154.47999999999999</v>
      </c>
    </row>
    <row r="9" spans="1:4" x14ac:dyDescent="0.25">
      <c r="A9" s="55" t="s">
        <v>473</v>
      </c>
      <c r="B9" s="110" t="s">
        <v>474</v>
      </c>
      <c r="C9" s="55" t="s">
        <v>8</v>
      </c>
      <c r="D9" s="108">
        <v>29.81</v>
      </c>
    </row>
    <row r="10" spans="1:4" x14ac:dyDescent="0.25">
      <c r="A10" s="55" t="s">
        <v>475</v>
      </c>
      <c r="B10" s="110" t="s">
        <v>476</v>
      </c>
      <c r="C10" s="55" t="s">
        <v>8</v>
      </c>
      <c r="D10" s="108">
        <f>26.9*1.16</f>
        <v>31.203999999999997</v>
      </c>
    </row>
    <row r="11" spans="1:4" x14ac:dyDescent="0.25">
      <c r="A11" s="55" t="s">
        <v>477</v>
      </c>
      <c r="B11" s="110" t="s">
        <v>478</v>
      </c>
      <c r="C11" s="55" t="s">
        <v>8</v>
      </c>
      <c r="D11" s="108">
        <v>29.81</v>
      </c>
    </row>
    <row r="12" spans="1:4" x14ac:dyDescent="0.25">
      <c r="A12" s="55" t="s">
        <v>479</v>
      </c>
      <c r="B12" s="110" t="s">
        <v>480</v>
      </c>
      <c r="C12" s="55" t="s">
        <v>8</v>
      </c>
      <c r="D12" s="108">
        <v>19.829999999999998</v>
      </c>
    </row>
    <row r="13" spans="1:4" x14ac:dyDescent="0.25">
      <c r="A13" s="55" t="s">
        <v>313</v>
      </c>
      <c r="B13" s="110" t="s">
        <v>302</v>
      </c>
      <c r="C13" s="55" t="s">
        <v>9</v>
      </c>
      <c r="D13" s="108">
        <v>24.61</v>
      </c>
    </row>
    <row r="14" spans="1:4" ht="27.6" x14ac:dyDescent="0.25">
      <c r="A14" s="55" t="s">
        <v>469</v>
      </c>
      <c r="B14" s="110" t="s">
        <v>470</v>
      </c>
      <c r="C14" s="55" t="s">
        <v>6</v>
      </c>
      <c r="D14" s="108">
        <f>36*1.16</f>
        <v>41.76</v>
      </c>
    </row>
    <row r="15" spans="1:4" ht="27.6" x14ac:dyDescent="0.25">
      <c r="A15" s="55" t="s">
        <v>471</v>
      </c>
      <c r="B15" s="110" t="s">
        <v>472</v>
      </c>
      <c r="C15" s="55" t="s">
        <v>6</v>
      </c>
      <c r="D15" s="108">
        <f>360*1.16</f>
        <v>417.59999999999997</v>
      </c>
    </row>
    <row r="16" spans="1:4" ht="41.05" x14ac:dyDescent="0.25">
      <c r="A16" s="55" t="s">
        <v>622</v>
      </c>
      <c r="B16" s="110" t="s">
        <v>653</v>
      </c>
      <c r="C16" s="55" t="s">
        <v>6</v>
      </c>
      <c r="D16" s="108">
        <f>82*1.16</f>
        <v>95.11999999999999</v>
      </c>
    </row>
    <row r="17" spans="1:4" ht="27.6" x14ac:dyDescent="0.25">
      <c r="A17" s="55" t="s">
        <v>623</v>
      </c>
      <c r="B17" s="110" t="s">
        <v>303</v>
      </c>
      <c r="C17" s="55" t="s">
        <v>6</v>
      </c>
      <c r="D17" s="108">
        <f>35*1.16</f>
        <v>40.599999999999994</v>
      </c>
    </row>
    <row r="18" spans="1:4" ht="27.6" x14ac:dyDescent="0.25">
      <c r="A18" s="55" t="s">
        <v>314</v>
      </c>
      <c r="B18" s="110" t="s">
        <v>677</v>
      </c>
      <c r="C18" s="55" t="s">
        <v>6</v>
      </c>
      <c r="D18" s="108">
        <f>17*1.16</f>
        <v>19.72</v>
      </c>
    </row>
    <row r="19" spans="1:4" ht="27.6" x14ac:dyDescent="0.25">
      <c r="A19" s="55" t="s">
        <v>315</v>
      </c>
      <c r="B19" s="110" t="s">
        <v>304</v>
      </c>
      <c r="C19" s="55" t="s">
        <v>6</v>
      </c>
      <c r="D19" s="108">
        <f>47.74</f>
        <v>47.74</v>
      </c>
    </row>
    <row r="20" spans="1:4" x14ac:dyDescent="0.25">
      <c r="A20" s="55" t="s">
        <v>316</v>
      </c>
      <c r="B20" s="110" t="s">
        <v>305</v>
      </c>
      <c r="C20" s="55" t="s">
        <v>6</v>
      </c>
      <c r="D20" s="108">
        <f>72.5*1.16</f>
        <v>84.1</v>
      </c>
    </row>
    <row r="21" spans="1:4" x14ac:dyDescent="0.25">
      <c r="A21" s="55" t="s">
        <v>678</v>
      </c>
      <c r="B21" s="110" t="s">
        <v>595</v>
      </c>
      <c r="C21" s="55" t="s">
        <v>6</v>
      </c>
      <c r="D21" s="120">
        <f>(108.75+(72.5*1.16))/2</f>
        <v>96.424999999999997</v>
      </c>
    </row>
    <row r="22" spans="1:4" x14ac:dyDescent="0.25">
      <c r="A22" s="55" t="s">
        <v>679</v>
      </c>
      <c r="B22" s="110" t="s">
        <v>654</v>
      </c>
      <c r="C22" s="55" t="s">
        <v>6</v>
      </c>
      <c r="D22" s="120">
        <f>85*1.16</f>
        <v>98.6</v>
      </c>
    </row>
    <row r="23" spans="1:4" x14ac:dyDescent="0.25">
      <c r="A23" s="55" t="s">
        <v>317</v>
      </c>
      <c r="B23" s="110" t="s">
        <v>306</v>
      </c>
      <c r="C23" s="55" t="s">
        <v>176</v>
      </c>
      <c r="D23" s="108">
        <f>((142.7*1.16)/12)/2</f>
        <v>6.8971666666666662</v>
      </c>
    </row>
    <row r="24" spans="1:4" x14ac:dyDescent="0.25">
      <c r="A24" s="106" t="s">
        <v>481</v>
      </c>
      <c r="B24" s="112" t="s">
        <v>482</v>
      </c>
      <c r="C24" s="107" t="s">
        <v>6</v>
      </c>
      <c r="D24" s="120">
        <f>68.5*1.16</f>
        <v>79.459999999999994</v>
      </c>
    </row>
    <row r="25" spans="1:4" ht="27.6" x14ac:dyDescent="0.25">
      <c r="A25" s="107" t="s">
        <v>483</v>
      </c>
      <c r="B25" s="110" t="s">
        <v>484</v>
      </c>
      <c r="C25" s="55" t="s">
        <v>6</v>
      </c>
      <c r="D25" s="120">
        <f>158*1.16</f>
        <v>183.28</v>
      </c>
    </row>
    <row r="26" spans="1:4" ht="27.6" x14ac:dyDescent="0.25">
      <c r="A26" s="107" t="s">
        <v>485</v>
      </c>
      <c r="B26" s="110" t="s">
        <v>486</v>
      </c>
      <c r="C26" s="55" t="s">
        <v>6</v>
      </c>
      <c r="D26" s="120">
        <f>139.6*1.16</f>
        <v>161.93599999999998</v>
      </c>
    </row>
    <row r="27" spans="1:4" x14ac:dyDescent="0.25">
      <c r="A27" s="107" t="s">
        <v>487</v>
      </c>
      <c r="B27" s="110" t="s">
        <v>596</v>
      </c>
      <c r="C27" s="55" t="s">
        <v>4</v>
      </c>
      <c r="D27" s="108">
        <f>(407.62/6)</f>
        <v>67.936666666666667</v>
      </c>
    </row>
    <row r="28" spans="1:4" x14ac:dyDescent="0.25">
      <c r="A28" s="55" t="s">
        <v>318</v>
      </c>
      <c r="B28" s="110" t="s">
        <v>597</v>
      </c>
      <c r="C28" s="55" t="s">
        <v>11</v>
      </c>
      <c r="D28" s="108">
        <f>300.44/20</f>
        <v>15.022</v>
      </c>
    </row>
    <row r="29" spans="1:4" x14ac:dyDescent="0.25">
      <c r="A29" s="107" t="s">
        <v>319</v>
      </c>
      <c r="B29" s="110" t="s">
        <v>488</v>
      </c>
      <c r="C29" s="55" t="s">
        <v>4</v>
      </c>
      <c r="D29" s="108">
        <f>562.24/6</f>
        <v>93.706666666666663</v>
      </c>
    </row>
    <row r="30" spans="1:4" x14ac:dyDescent="0.25">
      <c r="A30" s="55" t="s">
        <v>320</v>
      </c>
      <c r="B30" s="110" t="s">
        <v>489</v>
      </c>
      <c r="C30" s="55" t="s">
        <v>4</v>
      </c>
      <c r="D30" s="108">
        <f>(578/12)*1.16</f>
        <v>55.873333333333328</v>
      </c>
    </row>
    <row r="31" spans="1:4" ht="27.6" x14ac:dyDescent="0.25">
      <c r="A31" s="55" t="s">
        <v>321</v>
      </c>
      <c r="B31" s="110" t="s">
        <v>307</v>
      </c>
      <c r="C31" s="55" t="s">
        <v>327</v>
      </c>
      <c r="D31" s="108">
        <f>175*1.16</f>
        <v>203</v>
      </c>
    </row>
    <row r="32" spans="1:4" x14ac:dyDescent="0.25">
      <c r="A32" s="55" t="s">
        <v>322</v>
      </c>
      <c r="B32" s="110" t="s">
        <v>308</v>
      </c>
      <c r="C32" s="55" t="s">
        <v>4</v>
      </c>
      <c r="D32" s="121">
        <f>486*1.16</f>
        <v>563.76</v>
      </c>
    </row>
    <row r="33" spans="1:4" x14ac:dyDescent="0.25">
      <c r="A33" s="106" t="s">
        <v>490</v>
      </c>
      <c r="B33" s="110" t="s">
        <v>655</v>
      </c>
      <c r="C33" s="55" t="s">
        <v>6</v>
      </c>
      <c r="D33" s="120">
        <v>42.02</v>
      </c>
    </row>
    <row r="34" spans="1:4" ht="27.6" x14ac:dyDescent="0.25">
      <c r="A34" s="107" t="s">
        <v>323</v>
      </c>
      <c r="B34" s="110" t="s">
        <v>680</v>
      </c>
      <c r="C34" s="55" t="s">
        <v>6</v>
      </c>
      <c r="D34" s="108">
        <f>54.7*1.16</f>
        <v>63.451999999999998</v>
      </c>
    </row>
    <row r="35" spans="1:4" x14ac:dyDescent="0.25">
      <c r="A35" s="55" t="s">
        <v>324</v>
      </c>
      <c r="B35" s="110" t="s">
        <v>491</v>
      </c>
      <c r="C35" s="55" t="s">
        <v>6</v>
      </c>
      <c r="D35" s="108">
        <f>(89.5/100)*1.16</f>
        <v>1.0382</v>
      </c>
    </row>
    <row r="36" spans="1:4" hidden="1" x14ac:dyDescent="0.25">
      <c r="A36" s="55" t="s">
        <v>325</v>
      </c>
      <c r="B36" s="110" t="s">
        <v>681</v>
      </c>
      <c r="C36" s="55" t="s">
        <v>6</v>
      </c>
      <c r="D36" s="108">
        <f>22*1.16</f>
        <v>25.52</v>
      </c>
    </row>
    <row r="37" spans="1:4" ht="27.6" x14ac:dyDescent="0.25">
      <c r="A37" s="55" t="s">
        <v>326</v>
      </c>
      <c r="B37" s="110" t="s">
        <v>682</v>
      </c>
      <c r="C37" s="55" t="s">
        <v>7</v>
      </c>
      <c r="D37" s="108">
        <f>687.5*1.16</f>
        <v>797.5</v>
      </c>
    </row>
    <row r="38" spans="1:4" x14ac:dyDescent="0.25">
      <c r="A38" s="55" t="s">
        <v>492</v>
      </c>
      <c r="B38" s="110" t="s">
        <v>493</v>
      </c>
      <c r="C38" s="55" t="s">
        <v>6</v>
      </c>
      <c r="D38" s="108">
        <f>450*1.16</f>
        <v>522</v>
      </c>
    </row>
    <row r="39" spans="1:4" ht="27.6" x14ac:dyDescent="0.25">
      <c r="A39" s="107" t="s">
        <v>494</v>
      </c>
      <c r="B39" s="110" t="s">
        <v>683</v>
      </c>
      <c r="C39" s="55" t="s">
        <v>6</v>
      </c>
      <c r="D39" s="120">
        <f>20.5*1.16</f>
        <v>23.779999999999998</v>
      </c>
    </row>
    <row r="40" spans="1:4" ht="27.6" x14ac:dyDescent="0.25">
      <c r="A40" s="107" t="s">
        <v>495</v>
      </c>
      <c r="B40" s="110" t="s">
        <v>684</v>
      </c>
      <c r="C40" s="55" t="s">
        <v>6</v>
      </c>
      <c r="D40" s="120">
        <f>26.5*1.16</f>
        <v>30.74</v>
      </c>
    </row>
    <row r="41" spans="1:4" x14ac:dyDescent="0.25">
      <c r="A41" s="107" t="s">
        <v>496</v>
      </c>
      <c r="B41" s="110" t="s">
        <v>497</v>
      </c>
      <c r="C41" s="55" t="s">
        <v>6</v>
      </c>
      <c r="D41" s="108">
        <v>171.86</v>
      </c>
    </row>
    <row r="42" spans="1:4" x14ac:dyDescent="0.25">
      <c r="A42" s="109" t="s">
        <v>498</v>
      </c>
      <c r="B42" s="110" t="s">
        <v>499</v>
      </c>
      <c r="C42" s="55" t="s">
        <v>6</v>
      </c>
      <c r="D42" s="108">
        <v>926.84</v>
      </c>
    </row>
    <row r="43" spans="1:4" x14ac:dyDescent="0.25">
      <c r="A43" s="109" t="s">
        <v>500</v>
      </c>
      <c r="B43" s="110" t="s">
        <v>501</v>
      </c>
      <c r="C43" s="55" t="s">
        <v>6</v>
      </c>
      <c r="D43" s="108">
        <v>15.99</v>
      </c>
    </row>
    <row r="44" spans="1:4" x14ac:dyDescent="0.25">
      <c r="A44" s="103" t="s">
        <v>668</v>
      </c>
      <c r="B44" s="113" t="s">
        <v>667</v>
      </c>
      <c r="C44" s="102" t="s">
        <v>6</v>
      </c>
      <c r="D44" s="108">
        <f>1160*1.16</f>
        <v>1345.6</v>
      </c>
    </row>
  </sheetData>
  <pageMargins left="0.7" right="0.7" top="0.75" bottom="0.75" header="0.3" footer="0.3"/>
  <pageSetup fitToHeight="0" orientation="portrait" r:id="rId1"/>
  <headerFooter>
    <oddHeader xml:space="preserve">&amp;L&amp;G&amp;C&amp;20 25-Artículos 
sanitarios y de aseo&amp;RVersión 2025-01
</oddHeader>
    <oddFooter>&amp;RNota: Los precios tienen un valor promedio, éste depende del valor del lote de procedencia, por lo que sólo considerelo como una referencia. Las existencias pueden variar de acuerdo a la demanda.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FF00"/>
  </sheetPr>
  <dimension ref="A1:D154"/>
  <sheetViews>
    <sheetView showGridLines="0" showRuler="0" view="pageLayout" topLeftCell="A6" zoomScale="130" zoomScaleNormal="102" zoomScalePageLayoutView="130" workbookViewId="0">
      <selection activeCell="B6" sqref="B6"/>
    </sheetView>
  </sheetViews>
  <sheetFormatPr baseColWidth="10" defaultRowHeight="14.15" x14ac:dyDescent="0.25"/>
  <cols>
    <col min="1" max="1" width="7.125" customWidth="1"/>
    <col min="2" max="2" width="67.875" customWidth="1"/>
    <col min="3" max="3" width="10.25" customWidth="1"/>
    <col min="4" max="4" width="11.5" style="2"/>
  </cols>
  <sheetData>
    <row r="1" spans="1:4" x14ac:dyDescent="0.25">
      <c r="A1" s="41" t="s">
        <v>2</v>
      </c>
      <c r="B1" s="42" t="s">
        <v>3</v>
      </c>
      <c r="C1" s="43" t="s">
        <v>1</v>
      </c>
      <c r="D1" s="44" t="s">
        <v>674</v>
      </c>
    </row>
    <row r="2" spans="1:4" x14ac:dyDescent="0.25">
      <c r="A2" s="45" t="s">
        <v>195</v>
      </c>
      <c r="B2" s="47" t="s">
        <v>182</v>
      </c>
      <c r="C2" s="46" t="s">
        <v>11</v>
      </c>
      <c r="D2" s="104">
        <f>225.38/2</f>
        <v>112.69</v>
      </c>
    </row>
    <row r="3" spans="1:4" ht="27.6" x14ac:dyDescent="0.25">
      <c r="A3" s="46" t="s">
        <v>196</v>
      </c>
      <c r="B3" s="47" t="s">
        <v>183</v>
      </c>
      <c r="C3" s="46" t="s">
        <v>11</v>
      </c>
      <c r="D3" s="104">
        <v>160</v>
      </c>
    </row>
    <row r="4" spans="1:4" ht="27.6" x14ac:dyDescent="0.25">
      <c r="A4" s="46" t="s">
        <v>197</v>
      </c>
      <c r="B4" s="47" t="s">
        <v>624</v>
      </c>
      <c r="C4" s="46" t="s">
        <v>90</v>
      </c>
      <c r="D4" s="104">
        <f>65.58</f>
        <v>65.58</v>
      </c>
    </row>
    <row r="5" spans="1:4" x14ac:dyDescent="0.25">
      <c r="A5" s="46" t="s">
        <v>198</v>
      </c>
      <c r="B5" s="47" t="s">
        <v>46</v>
      </c>
      <c r="C5" s="46" t="s">
        <v>90</v>
      </c>
      <c r="D5" s="104">
        <f>185*1.16</f>
        <v>214.6</v>
      </c>
    </row>
    <row r="6" spans="1:4" x14ac:dyDescent="0.25">
      <c r="A6" s="46" t="s">
        <v>199</v>
      </c>
      <c r="B6" s="47" t="s">
        <v>184</v>
      </c>
      <c r="C6" s="46" t="s">
        <v>11</v>
      </c>
      <c r="D6" s="104">
        <f>(1560/10)*1.16</f>
        <v>180.95999999999998</v>
      </c>
    </row>
    <row r="7" spans="1:4" x14ac:dyDescent="0.25">
      <c r="A7" s="46" t="s">
        <v>200</v>
      </c>
      <c r="B7" s="47" t="s">
        <v>185</v>
      </c>
      <c r="C7" s="46" t="s">
        <v>11</v>
      </c>
      <c r="D7" s="104">
        <f>220.33/2</f>
        <v>110.16500000000001</v>
      </c>
    </row>
    <row r="8" spans="1:4" x14ac:dyDescent="0.25">
      <c r="A8" s="46" t="s">
        <v>201</v>
      </c>
      <c r="B8" s="47" t="s">
        <v>73</v>
      </c>
      <c r="C8" s="46" t="s">
        <v>6</v>
      </c>
      <c r="D8" s="104">
        <f>58*1.16</f>
        <v>67.28</v>
      </c>
    </row>
    <row r="9" spans="1:4" ht="27.6" x14ac:dyDescent="0.25">
      <c r="A9" s="46" t="s">
        <v>202</v>
      </c>
      <c r="B9" s="47" t="s">
        <v>86</v>
      </c>
      <c r="C9" s="46" t="s">
        <v>92</v>
      </c>
      <c r="D9" s="104">
        <f>13*1.16</f>
        <v>15.079999999999998</v>
      </c>
    </row>
    <row r="10" spans="1:4" x14ac:dyDescent="0.25">
      <c r="A10" s="46" t="s">
        <v>203</v>
      </c>
      <c r="B10" s="47" t="s">
        <v>186</v>
      </c>
      <c r="C10" s="46" t="s">
        <v>11</v>
      </c>
      <c r="D10" s="104">
        <f>247.71</f>
        <v>247.71</v>
      </c>
    </row>
    <row r="11" spans="1:4" x14ac:dyDescent="0.25">
      <c r="A11" s="46" t="s">
        <v>204</v>
      </c>
      <c r="B11" s="47" t="s">
        <v>187</v>
      </c>
      <c r="C11" s="46" t="s">
        <v>11</v>
      </c>
      <c r="D11" s="104">
        <v>157.09</v>
      </c>
    </row>
    <row r="12" spans="1:4" ht="27.6" x14ac:dyDescent="0.25">
      <c r="A12" s="46" t="s">
        <v>685</v>
      </c>
      <c r="B12" s="47" t="s">
        <v>686</v>
      </c>
      <c r="C12" s="46" t="s">
        <v>92</v>
      </c>
      <c r="D12" s="104">
        <v>39.44</v>
      </c>
    </row>
    <row r="13" spans="1:4" x14ac:dyDescent="0.25">
      <c r="A13" s="46" t="s">
        <v>205</v>
      </c>
      <c r="B13" s="47" t="s">
        <v>188</v>
      </c>
      <c r="C13" s="46" t="s">
        <v>92</v>
      </c>
      <c r="D13" s="104">
        <f>252.88</f>
        <v>252.88</v>
      </c>
    </row>
    <row r="14" spans="1:4" ht="27.6" x14ac:dyDescent="0.25">
      <c r="A14" s="46" t="s">
        <v>206</v>
      </c>
      <c r="B14" s="47" t="s">
        <v>189</v>
      </c>
      <c r="C14" s="46" t="s">
        <v>11</v>
      </c>
      <c r="D14" s="104">
        <f>158.92/2</f>
        <v>79.459999999999994</v>
      </c>
    </row>
    <row r="15" spans="1:4" ht="22.2" x14ac:dyDescent="0.25">
      <c r="A15" s="46" t="s">
        <v>502</v>
      </c>
      <c r="B15" s="115" t="s">
        <v>503</v>
      </c>
      <c r="C15" s="46" t="s">
        <v>11</v>
      </c>
      <c r="D15" s="104">
        <f>145*1.16</f>
        <v>168.2</v>
      </c>
    </row>
    <row r="16" spans="1:4" ht="22.2" x14ac:dyDescent="0.25">
      <c r="A16" s="46" t="s">
        <v>504</v>
      </c>
      <c r="B16" s="115" t="s">
        <v>505</v>
      </c>
      <c r="C16" s="46" t="s">
        <v>11</v>
      </c>
      <c r="D16" s="104">
        <f>145*1.16</f>
        <v>168.2</v>
      </c>
    </row>
    <row r="17" spans="1:4" ht="22.2" x14ac:dyDescent="0.25">
      <c r="A17" s="46" t="s">
        <v>506</v>
      </c>
      <c r="B17" s="115" t="s">
        <v>507</v>
      </c>
      <c r="C17" s="46" t="s">
        <v>11</v>
      </c>
      <c r="D17" s="104">
        <f>145*1.16</f>
        <v>168.2</v>
      </c>
    </row>
    <row r="18" spans="1:4" ht="22.2" x14ac:dyDescent="0.25">
      <c r="A18" s="46" t="s">
        <v>508</v>
      </c>
      <c r="B18" s="115" t="s">
        <v>509</v>
      </c>
      <c r="C18" s="46" t="s">
        <v>11</v>
      </c>
      <c r="D18" s="104">
        <f>145*1.16</f>
        <v>168.2</v>
      </c>
    </row>
    <row r="19" spans="1:4" x14ac:dyDescent="0.25">
      <c r="A19" s="46" t="s">
        <v>207</v>
      </c>
      <c r="B19" s="47" t="s">
        <v>155</v>
      </c>
      <c r="C19" s="46" t="s">
        <v>11</v>
      </c>
      <c r="D19" s="104">
        <f>36*1.16</f>
        <v>41.76</v>
      </c>
    </row>
    <row r="20" spans="1:4" x14ac:dyDescent="0.25">
      <c r="A20" s="46">
        <v>25</v>
      </c>
      <c r="B20" s="47" t="s">
        <v>55</v>
      </c>
      <c r="C20" s="46" t="s">
        <v>6</v>
      </c>
      <c r="D20" s="104">
        <f>78.88</f>
        <v>78.88</v>
      </c>
    </row>
    <row r="21" spans="1:4" x14ac:dyDescent="0.25">
      <c r="A21" s="46" t="s">
        <v>208</v>
      </c>
      <c r="B21" s="47" t="s">
        <v>56</v>
      </c>
      <c r="C21" s="46" t="s">
        <v>6</v>
      </c>
      <c r="D21" s="104">
        <v>50.08</v>
      </c>
    </row>
    <row r="22" spans="1:4" x14ac:dyDescent="0.25">
      <c r="A22" s="46" t="s">
        <v>209</v>
      </c>
      <c r="B22" s="47" t="s">
        <v>53</v>
      </c>
      <c r="C22" s="46" t="s">
        <v>6</v>
      </c>
      <c r="D22" s="104">
        <v>64.739999999999995</v>
      </c>
    </row>
    <row r="23" spans="1:4" x14ac:dyDescent="0.25">
      <c r="A23" s="46" t="s">
        <v>210</v>
      </c>
      <c r="B23" s="47" t="s">
        <v>598</v>
      </c>
      <c r="C23" s="46" t="s">
        <v>92</v>
      </c>
      <c r="D23" s="104">
        <v>199.52</v>
      </c>
    </row>
    <row r="24" spans="1:4" ht="27.6" x14ac:dyDescent="0.25">
      <c r="A24" s="46" t="s">
        <v>211</v>
      </c>
      <c r="B24" s="47" t="s">
        <v>190</v>
      </c>
      <c r="C24" s="46" t="s">
        <v>92</v>
      </c>
      <c r="D24" s="104">
        <v>87</v>
      </c>
    </row>
    <row r="25" spans="1:4" ht="27.6" x14ac:dyDescent="0.25">
      <c r="A25" s="46">
        <v>32</v>
      </c>
      <c r="B25" s="47" t="s">
        <v>687</v>
      </c>
      <c r="C25" s="46" t="s">
        <v>92</v>
      </c>
      <c r="D25" s="104">
        <v>0.8</v>
      </c>
    </row>
    <row r="26" spans="1:4" x14ac:dyDescent="0.25">
      <c r="A26" s="46" t="s">
        <v>212</v>
      </c>
      <c r="B26" s="47" t="s">
        <v>54</v>
      </c>
      <c r="C26" s="46" t="s">
        <v>6</v>
      </c>
      <c r="D26" s="104">
        <f>52*1.16</f>
        <v>60.319999999999993</v>
      </c>
    </row>
    <row r="27" spans="1:4" x14ac:dyDescent="0.25">
      <c r="A27" s="46" t="s">
        <v>213</v>
      </c>
      <c r="B27" s="47" t="s">
        <v>191</v>
      </c>
      <c r="C27" s="46" t="s">
        <v>92</v>
      </c>
      <c r="D27" s="104">
        <v>113.68</v>
      </c>
    </row>
    <row r="28" spans="1:4" x14ac:dyDescent="0.25">
      <c r="A28" s="46" t="s">
        <v>214</v>
      </c>
      <c r="B28" s="47" t="s">
        <v>52</v>
      </c>
      <c r="C28" s="46" t="s">
        <v>6</v>
      </c>
      <c r="D28" s="104">
        <f>79*1.16</f>
        <v>91.64</v>
      </c>
    </row>
    <row r="29" spans="1:4" ht="27.6" x14ac:dyDescent="0.25">
      <c r="A29" s="46" t="s">
        <v>215</v>
      </c>
      <c r="B29" s="47" t="s">
        <v>45</v>
      </c>
      <c r="C29" s="46" t="s">
        <v>90</v>
      </c>
      <c r="D29" s="104">
        <f>((15*1.16)+(13.94*1.16))/2</f>
        <v>16.785199999999996</v>
      </c>
    </row>
    <row r="30" spans="1:4" ht="27.6" x14ac:dyDescent="0.25">
      <c r="A30" s="46" t="s">
        <v>216</v>
      </c>
      <c r="B30" s="47" t="s">
        <v>599</v>
      </c>
      <c r="C30" s="46" t="s">
        <v>6</v>
      </c>
      <c r="D30" s="104">
        <f>38*1.16</f>
        <v>44.08</v>
      </c>
    </row>
    <row r="31" spans="1:4" ht="27.6" x14ac:dyDescent="0.25">
      <c r="A31" s="46" t="s">
        <v>217</v>
      </c>
      <c r="B31" s="47" t="s">
        <v>625</v>
      </c>
      <c r="C31" s="46" t="s">
        <v>6</v>
      </c>
      <c r="D31" s="104">
        <f>43.83</f>
        <v>43.83</v>
      </c>
    </row>
    <row r="32" spans="1:4" ht="27.6" x14ac:dyDescent="0.25">
      <c r="A32" s="46" t="s">
        <v>218</v>
      </c>
      <c r="B32" s="47" t="s">
        <v>82</v>
      </c>
      <c r="C32" s="46" t="s">
        <v>6</v>
      </c>
      <c r="D32" s="104">
        <v>25.62</v>
      </c>
    </row>
    <row r="33" spans="1:4" ht="26.25" x14ac:dyDescent="0.25">
      <c r="A33" s="46" t="s">
        <v>510</v>
      </c>
      <c r="B33" s="116" t="s">
        <v>511</v>
      </c>
      <c r="C33" s="46" t="s">
        <v>11</v>
      </c>
      <c r="D33" s="104">
        <f>145*1.16</f>
        <v>168.2</v>
      </c>
    </row>
    <row r="34" spans="1:4" ht="26.25" x14ac:dyDescent="0.25">
      <c r="A34" s="46" t="s">
        <v>512</v>
      </c>
      <c r="B34" s="116" t="s">
        <v>513</v>
      </c>
      <c r="C34" s="46" t="s">
        <v>11</v>
      </c>
      <c r="D34" s="104">
        <f>(8.53*10)</f>
        <v>85.3</v>
      </c>
    </row>
    <row r="35" spans="1:4" ht="26.25" x14ac:dyDescent="0.25">
      <c r="A35" s="46" t="s">
        <v>514</v>
      </c>
      <c r="B35" s="116" t="s">
        <v>515</v>
      </c>
      <c r="C35" s="46" t="s">
        <v>11</v>
      </c>
      <c r="D35" s="104">
        <f>145*1.16</f>
        <v>168.2</v>
      </c>
    </row>
    <row r="36" spans="1:4" ht="26.25" x14ac:dyDescent="0.25">
      <c r="A36" s="46" t="s">
        <v>516</v>
      </c>
      <c r="B36" s="116" t="s">
        <v>517</v>
      </c>
      <c r="C36" s="46" t="s">
        <v>11</v>
      </c>
      <c r="D36" s="104">
        <f>145*1.16</f>
        <v>168.2</v>
      </c>
    </row>
    <row r="37" spans="1:4" ht="26.25" x14ac:dyDescent="0.25">
      <c r="A37" s="46" t="s">
        <v>656</v>
      </c>
      <c r="B37" s="116" t="s">
        <v>657</v>
      </c>
      <c r="C37" s="46" t="s">
        <v>11</v>
      </c>
      <c r="D37" s="104">
        <f>140*1.16</f>
        <v>162.39999999999998</v>
      </c>
    </row>
    <row r="38" spans="1:4" x14ac:dyDescent="0.25">
      <c r="A38" s="46" t="s">
        <v>412</v>
      </c>
      <c r="B38" s="47" t="s">
        <v>413</v>
      </c>
      <c r="C38" s="46" t="s">
        <v>6</v>
      </c>
      <c r="D38" s="104">
        <f>147.02/100</f>
        <v>1.4702000000000002</v>
      </c>
    </row>
    <row r="39" spans="1:4" x14ac:dyDescent="0.25">
      <c r="A39" s="46" t="s">
        <v>414</v>
      </c>
      <c r="B39" s="47" t="s">
        <v>415</v>
      </c>
      <c r="C39" s="46" t="s">
        <v>6</v>
      </c>
      <c r="D39" s="104">
        <f>147.02/100</f>
        <v>1.4702000000000002</v>
      </c>
    </row>
    <row r="40" spans="1:4" ht="27.6" x14ac:dyDescent="0.25">
      <c r="A40" s="46" t="s">
        <v>219</v>
      </c>
      <c r="B40" s="47" t="s">
        <v>58</v>
      </c>
      <c r="C40" s="46" t="s">
        <v>6</v>
      </c>
      <c r="D40" s="104">
        <f>150.37/12</f>
        <v>12.530833333333334</v>
      </c>
    </row>
    <row r="41" spans="1:4" ht="27.6" x14ac:dyDescent="0.25">
      <c r="A41" s="46" t="s">
        <v>220</v>
      </c>
      <c r="B41" s="47" t="s">
        <v>70</v>
      </c>
      <c r="C41" s="46" t="s">
        <v>6</v>
      </c>
      <c r="D41" s="104">
        <v>1.66</v>
      </c>
    </row>
    <row r="42" spans="1:4" ht="27.6" x14ac:dyDescent="0.25">
      <c r="A42" s="46" t="s">
        <v>221</v>
      </c>
      <c r="B42" s="47" t="s">
        <v>59</v>
      </c>
      <c r="C42" s="46" t="s">
        <v>5</v>
      </c>
      <c r="D42" s="104">
        <v>5.63</v>
      </c>
    </row>
    <row r="43" spans="1:4" x14ac:dyDescent="0.25">
      <c r="A43" s="46" t="s">
        <v>416</v>
      </c>
      <c r="B43" s="47" t="s">
        <v>417</v>
      </c>
      <c r="C43" s="46" t="s">
        <v>6</v>
      </c>
      <c r="D43" s="104">
        <f>8.5*1.16</f>
        <v>9.86</v>
      </c>
    </row>
    <row r="44" spans="1:4" x14ac:dyDescent="0.25">
      <c r="A44" s="46" t="s">
        <v>418</v>
      </c>
      <c r="B44" s="47" t="s">
        <v>419</v>
      </c>
      <c r="C44" s="46" t="s">
        <v>6</v>
      </c>
      <c r="D44" s="104">
        <f>8.5*1.16</f>
        <v>9.86</v>
      </c>
    </row>
    <row r="45" spans="1:4" x14ac:dyDescent="0.25">
      <c r="A45" s="46" t="s">
        <v>222</v>
      </c>
      <c r="B45" s="47" t="s">
        <v>688</v>
      </c>
      <c r="C45" s="46" t="s">
        <v>6</v>
      </c>
      <c r="D45" s="104">
        <f>65/6*1.16</f>
        <v>12.566666666666666</v>
      </c>
    </row>
    <row r="46" spans="1:4" ht="27.6" x14ac:dyDescent="0.25">
      <c r="A46" s="46" t="s">
        <v>223</v>
      </c>
      <c r="B46" s="47" t="s">
        <v>61</v>
      </c>
      <c r="C46" s="46" t="s">
        <v>5</v>
      </c>
      <c r="D46" s="104">
        <f>6.08</f>
        <v>6.08</v>
      </c>
    </row>
    <row r="47" spans="1:4" ht="27.6" x14ac:dyDescent="0.25">
      <c r="A47" s="46" t="s">
        <v>224</v>
      </c>
      <c r="B47" s="47" t="s">
        <v>658</v>
      </c>
      <c r="C47" s="46" t="s">
        <v>5</v>
      </c>
      <c r="D47" s="104">
        <f>27.04</f>
        <v>27.04</v>
      </c>
    </row>
    <row r="48" spans="1:4" x14ac:dyDescent="0.25">
      <c r="A48" s="46" t="s">
        <v>225</v>
      </c>
      <c r="B48" s="47" t="s">
        <v>659</v>
      </c>
      <c r="C48" s="46" t="s">
        <v>89</v>
      </c>
      <c r="D48" s="104">
        <f>26*1.16</f>
        <v>30.159999999999997</v>
      </c>
    </row>
    <row r="49" spans="1:4" x14ac:dyDescent="0.25">
      <c r="A49" s="46" t="s">
        <v>226</v>
      </c>
      <c r="B49" s="47" t="s">
        <v>75</v>
      </c>
      <c r="C49" s="46" t="s">
        <v>5</v>
      </c>
      <c r="D49" s="104">
        <v>117.49</v>
      </c>
    </row>
    <row r="50" spans="1:4" ht="27.6" x14ac:dyDescent="0.25">
      <c r="A50" s="46" t="s">
        <v>227</v>
      </c>
      <c r="B50" s="47" t="s">
        <v>600</v>
      </c>
      <c r="C50" s="46" t="s">
        <v>5</v>
      </c>
      <c r="D50" s="118">
        <f>225.31*1.16</f>
        <v>261.3596</v>
      </c>
    </row>
    <row r="51" spans="1:4" x14ac:dyDescent="0.25">
      <c r="A51" s="46" t="s">
        <v>228</v>
      </c>
      <c r="B51" s="47" t="s">
        <v>64</v>
      </c>
      <c r="C51" s="46" t="s">
        <v>6</v>
      </c>
      <c r="D51" s="104">
        <f>198*1.16</f>
        <v>229.67999999999998</v>
      </c>
    </row>
    <row r="52" spans="1:4" x14ac:dyDescent="0.25">
      <c r="A52" s="46" t="s">
        <v>229</v>
      </c>
      <c r="B52" s="47" t="s">
        <v>78</v>
      </c>
      <c r="C52" s="46" t="s">
        <v>6</v>
      </c>
      <c r="D52" s="104">
        <f>((166.31*1.16)+(195*1.16))/2</f>
        <v>209.5598</v>
      </c>
    </row>
    <row r="53" spans="1:4" ht="27.6" x14ac:dyDescent="0.25">
      <c r="A53" s="46" t="s">
        <v>230</v>
      </c>
      <c r="B53" s="47" t="s">
        <v>48</v>
      </c>
      <c r="C53" s="46" t="s">
        <v>5</v>
      </c>
      <c r="D53" s="104">
        <v>13.05</v>
      </c>
    </row>
    <row r="54" spans="1:4" ht="27.6" x14ac:dyDescent="0.25">
      <c r="A54" s="46" t="s">
        <v>420</v>
      </c>
      <c r="B54" s="47" t="s">
        <v>626</v>
      </c>
      <c r="C54" s="46" t="s">
        <v>6</v>
      </c>
      <c r="D54" s="104">
        <f>(31.98/12)</f>
        <v>2.665</v>
      </c>
    </row>
    <row r="55" spans="1:4" ht="27.6" x14ac:dyDescent="0.25">
      <c r="A55" s="46" t="s">
        <v>421</v>
      </c>
      <c r="B55" s="47" t="s">
        <v>422</v>
      </c>
      <c r="C55" s="46" t="s">
        <v>6</v>
      </c>
      <c r="D55" s="104">
        <f>(48/12)*1.16</f>
        <v>4.6399999999999997</v>
      </c>
    </row>
    <row r="56" spans="1:4" ht="27.6" x14ac:dyDescent="0.25">
      <c r="A56" s="46" t="s">
        <v>423</v>
      </c>
      <c r="B56" s="47" t="s">
        <v>424</v>
      </c>
      <c r="C56" s="46" t="s">
        <v>6</v>
      </c>
      <c r="D56" s="104">
        <f>(31.98/12)</f>
        <v>2.665</v>
      </c>
    </row>
    <row r="57" spans="1:4" x14ac:dyDescent="0.25">
      <c r="A57" s="46" t="s">
        <v>231</v>
      </c>
      <c r="B57" s="47" t="s">
        <v>62</v>
      </c>
      <c r="C57" s="46" t="s">
        <v>6</v>
      </c>
      <c r="D57" s="104">
        <f>11.84</f>
        <v>11.84</v>
      </c>
    </row>
    <row r="58" spans="1:4" ht="27.6" x14ac:dyDescent="0.25">
      <c r="A58" s="46" t="s">
        <v>232</v>
      </c>
      <c r="B58" s="47" t="s">
        <v>660</v>
      </c>
      <c r="C58" s="46" t="s">
        <v>6</v>
      </c>
      <c r="D58" s="104">
        <f>430*1.16</f>
        <v>498.79999999999995</v>
      </c>
    </row>
    <row r="59" spans="1:4" ht="27.6" x14ac:dyDescent="0.25">
      <c r="A59" s="46" t="s">
        <v>233</v>
      </c>
      <c r="B59" s="47" t="s">
        <v>627</v>
      </c>
      <c r="C59" s="46" t="s">
        <v>6</v>
      </c>
      <c r="D59" s="104">
        <v>18.11</v>
      </c>
    </row>
    <row r="60" spans="1:4" x14ac:dyDescent="0.25">
      <c r="A60" s="46" t="s">
        <v>425</v>
      </c>
      <c r="B60" s="47" t="s">
        <v>426</v>
      </c>
      <c r="C60" s="46" t="s">
        <v>6</v>
      </c>
      <c r="D60" s="104">
        <f>(35.05/12)</f>
        <v>2.9208333333333329</v>
      </c>
    </row>
    <row r="61" spans="1:4" x14ac:dyDescent="0.25">
      <c r="A61" s="46" t="s">
        <v>427</v>
      </c>
      <c r="B61" s="47" t="s">
        <v>428</v>
      </c>
      <c r="C61" s="46" t="s">
        <v>6</v>
      </c>
      <c r="D61" s="104">
        <f>(42/12)*1.16</f>
        <v>4.0599999999999996</v>
      </c>
    </row>
    <row r="62" spans="1:4" x14ac:dyDescent="0.25">
      <c r="A62" s="46" t="s">
        <v>429</v>
      </c>
      <c r="B62" s="47" t="s">
        <v>430</v>
      </c>
      <c r="C62" s="46" t="s">
        <v>6</v>
      </c>
      <c r="D62" s="104">
        <f>(42/12)*1.16</f>
        <v>4.0599999999999996</v>
      </c>
    </row>
    <row r="63" spans="1:4" ht="27.6" x14ac:dyDescent="0.25">
      <c r="A63" s="46" t="s">
        <v>234</v>
      </c>
      <c r="B63" s="47" t="s">
        <v>628</v>
      </c>
      <c r="C63" s="46" t="s">
        <v>5</v>
      </c>
      <c r="D63" s="104">
        <f>28.58</f>
        <v>28.58</v>
      </c>
    </row>
    <row r="64" spans="1:4" ht="27.6" x14ac:dyDescent="0.25">
      <c r="A64" s="46" t="s">
        <v>235</v>
      </c>
      <c r="B64" s="47" t="s">
        <v>629</v>
      </c>
      <c r="C64" s="46" t="s">
        <v>6</v>
      </c>
      <c r="D64" s="104">
        <f>48*1.16</f>
        <v>55.679999999999993</v>
      </c>
    </row>
    <row r="65" spans="1:4" ht="27.6" x14ac:dyDescent="0.25">
      <c r="A65" s="46" t="s">
        <v>236</v>
      </c>
      <c r="B65" s="47" t="s">
        <v>630</v>
      </c>
      <c r="C65" s="46" t="s">
        <v>5</v>
      </c>
      <c r="D65" s="104">
        <f>18*1.16</f>
        <v>20.88</v>
      </c>
    </row>
    <row r="66" spans="1:4" ht="27.6" x14ac:dyDescent="0.25">
      <c r="A66" s="46" t="s">
        <v>237</v>
      </c>
      <c r="B66" s="47" t="s">
        <v>689</v>
      </c>
      <c r="C66" s="46" t="s">
        <v>5</v>
      </c>
      <c r="D66" s="104">
        <f>10*1.16</f>
        <v>11.6</v>
      </c>
    </row>
    <row r="67" spans="1:4" ht="27.6" x14ac:dyDescent="0.25">
      <c r="A67" s="46" t="s">
        <v>238</v>
      </c>
      <c r="B67" s="47" t="s">
        <v>60</v>
      </c>
      <c r="C67" s="46" t="s">
        <v>5</v>
      </c>
      <c r="D67" s="104">
        <v>9.73</v>
      </c>
    </row>
    <row r="68" spans="1:4" ht="27.6" x14ac:dyDescent="0.25">
      <c r="A68" s="46" t="s">
        <v>431</v>
      </c>
      <c r="B68" s="47" t="s">
        <v>432</v>
      </c>
      <c r="C68" s="46" t="s">
        <v>6</v>
      </c>
      <c r="D68" s="104">
        <f>3.48</f>
        <v>3.48</v>
      </c>
    </row>
    <row r="69" spans="1:4" ht="27.6" x14ac:dyDescent="0.25">
      <c r="A69" s="46" t="s">
        <v>433</v>
      </c>
      <c r="B69" s="47" t="s">
        <v>434</v>
      </c>
      <c r="C69" s="46" t="s">
        <v>6</v>
      </c>
      <c r="D69" s="104">
        <f>3.48</f>
        <v>3.48</v>
      </c>
    </row>
    <row r="70" spans="1:4" ht="27.6" x14ac:dyDescent="0.25">
      <c r="A70" s="46" t="s">
        <v>435</v>
      </c>
      <c r="B70" s="47" t="s">
        <v>690</v>
      </c>
      <c r="C70" s="46" t="s">
        <v>6</v>
      </c>
      <c r="D70" s="104">
        <f>6*1.16</f>
        <v>6.9599999999999991</v>
      </c>
    </row>
    <row r="71" spans="1:4" ht="27.6" x14ac:dyDescent="0.25">
      <c r="A71" s="46" t="s">
        <v>436</v>
      </c>
      <c r="B71" s="47" t="s">
        <v>437</v>
      </c>
      <c r="C71" s="46" t="s">
        <v>6</v>
      </c>
      <c r="D71" s="104">
        <v>1.6</v>
      </c>
    </row>
    <row r="72" spans="1:4" ht="27.6" x14ac:dyDescent="0.25">
      <c r="A72" s="46" t="s">
        <v>239</v>
      </c>
      <c r="B72" s="47" t="s">
        <v>631</v>
      </c>
      <c r="C72" s="46" t="s">
        <v>88</v>
      </c>
      <c r="D72" s="104">
        <f>140*1.16</f>
        <v>162.39999999999998</v>
      </c>
    </row>
    <row r="73" spans="1:4" x14ac:dyDescent="0.25">
      <c r="A73" s="46">
        <v>231</v>
      </c>
      <c r="B73" s="47" t="s">
        <v>590</v>
      </c>
      <c r="C73" s="46" t="s">
        <v>10</v>
      </c>
      <c r="D73" s="104">
        <f>135*1.16</f>
        <v>156.6</v>
      </c>
    </row>
    <row r="74" spans="1:4" ht="27.6" x14ac:dyDescent="0.25">
      <c r="A74" s="46" t="s">
        <v>240</v>
      </c>
      <c r="B74" s="47" t="s">
        <v>79</v>
      </c>
      <c r="C74" s="46" t="s">
        <v>6</v>
      </c>
      <c r="D74" s="104">
        <v>352.01</v>
      </c>
    </row>
    <row r="75" spans="1:4" x14ac:dyDescent="0.25">
      <c r="A75" s="46" t="s">
        <v>438</v>
      </c>
      <c r="B75" s="47" t="s">
        <v>439</v>
      </c>
      <c r="C75" s="46" t="s">
        <v>89</v>
      </c>
      <c r="D75" s="104">
        <f>35*1.16</f>
        <v>40.599999999999994</v>
      </c>
    </row>
    <row r="76" spans="1:4" x14ac:dyDescent="0.25">
      <c r="A76" s="46" t="s">
        <v>440</v>
      </c>
      <c r="B76" s="47" t="s">
        <v>441</v>
      </c>
      <c r="C76" s="46" t="s">
        <v>89</v>
      </c>
      <c r="D76" s="104">
        <f>45*1.16</f>
        <v>52.199999999999996</v>
      </c>
    </row>
    <row r="77" spans="1:4" x14ac:dyDescent="0.25">
      <c r="A77" s="46" t="s">
        <v>442</v>
      </c>
      <c r="B77" s="47" t="s">
        <v>443</v>
      </c>
      <c r="C77" s="46" t="s">
        <v>89</v>
      </c>
      <c r="D77" s="104">
        <f>25.91*1.16</f>
        <v>30.055599999999998</v>
      </c>
    </row>
    <row r="78" spans="1:4" x14ac:dyDescent="0.25">
      <c r="A78" s="46" t="s">
        <v>444</v>
      </c>
      <c r="B78" s="47" t="s">
        <v>445</v>
      </c>
      <c r="C78" s="46" t="s">
        <v>89</v>
      </c>
      <c r="D78" s="104">
        <v>12.6</v>
      </c>
    </row>
    <row r="79" spans="1:4" x14ac:dyDescent="0.25">
      <c r="A79" s="46" t="s">
        <v>446</v>
      </c>
      <c r="B79" s="47" t="s">
        <v>447</v>
      </c>
      <c r="C79" s="46" t="s">
        <v>89</v>
      </c>
      <c r="D79" s="104">
        <v>12.6</v>
      </c>
    </row>
    <row r="80" spans="1:4" ht="27.6" x14ac:dyDescent="0.25">
      <c r="A80" s="46" t="s">
        <v>448</v>
      </c>
      <c r="B80" s="47" t="s">
        <v>449</v>
      </c>
      <c r="C80" s="46" t="s">
        <v>6</v>
      </c>
      <c r="D80" s="104">
        <f>58.51/12</f>
        <v>4.8758333333333335</v>
      </c>
    </row>
    <row r="81" spans="1:4" ht="27.6" x14ac:dyDescent="0.25">
      <c r="A81" s="46" t="s">
        <v>450</v>
      </c>
      <c r="B81" s="47" t="s">
        <v>691</v>
      </c>
      <c r="C81" s="46" t="s">
        <v>6</v>
      </c>
      <c r="D81" s="104">
        <f>58.51/12</f>
        <v>4.8758333333333335</v>
      </c>
    </row>
    <row r="82" spans="1:4" ht="27.6" x14ac:dyDescent="0.25">
      <c r="A82" s="46" t="s">
        <v>451</v>
      </c>
      <c r="B82" s="47" t="s">
        <v>452</v>
      </c>
      <c r="C82" s="46" t="s">
        <v>6</v>
      </c>
      <c r="D82" s="104">
        <f>58.51/12</f>
        <v>4.8758333333333335</v>
      </c>
    </row>
    <row r="83" spans="1:4" ht="27.6" x14ac:dyDescent="0.25">
      <c r="A83" s="46" t="s">
        <v>453</v>
      </c>
      <c r="B83" s="47" t="s">
        <v>454</v>
      </c>
      <c r="C83" s="46" t="s">
        <v>6</v>
      </c>
      <c r="D83" s="104">
        <f>(128/12)*1.16</f>
        <v>12.373333333333331</v>
      </c>
    </row>
    <row r="84" spans="1:4" ht="27.6" x14ac:dyDescent="0.25">
      <c r="A84" s="46" t="s">
        <v>455</v>
      </c>
      <c r="B84" s="47" t="s">
        <v>456</v>
      </c>
      <c r="C84" s="46" t="s">
        <v>6</v>
      </c>
      <c r="D84" s="104">
        <f>(128/12)*1.16</f>
        <v>12.373333333333331</v>
      </c>
    </row>
    <row r="85" spans="1:4" ht="27.6" x14ac:dyDescent="0.25">
      <c r="A85" s="46" t="s">
        <v>241</v>
      </c>
      <c r="B85" s="47" t="s">
        <v>591</v>
      </c>
      <c r="C85" s="46" t="s">
        <v>11</v>
      </c>
      <c r="D85" s="104">
        <f>23*1.16</f>
        <v>26.68</v>
      </c>
    </row>
    <row r="86" spans="1:4" x14ac:dyDescent="0.25">
      <c r="A86" s="46" t="s">
        <v>242</v>
      </c>
      <c r="B86" s="47" t="s">
        <v>156</v>
      </c>
      <c r="C86" s="46" t="s">
        <v>6</v>
      </c>
      <c r="D86" s="104">
        <v>6.09</v>
      </c>
    </row>
    <row r="87" spans="1:4" ht="27.6" x14ac:dyDescent="0.25">
      <c r="A87" s="46" t="s">
        <v>243</v>
      </c>
      <c r="B87" s="47" t="s">
        <v>669</v>
      </c>
      <c r="C87" s="46" t="s">
        <v>6</v>
      </c>
      <c r="D87" s="104">
        <f>26*1.16</f>
        <v>30.159999999999997</v>
      </c>
    </row>
    <row r="88" spans="1:4" x14ac:dyDescent="0.25">
      <c r="A88" s="46" t="s">
        <v>457</v>
      </c>
      <c r="B88" s="47" t="s">
        <v>458</v>
      </c>
      <c r="C88" s="46" t="s">
        <v>6</v>
      </c>
      <c r="D88" s="104">
        <f>161.8/12</f>
        <v>13.483333333333334</v>
      </c>
    </row>
    <row r="89" spans="1:4" x14ac:dyDescent="0.25">
      <c r="A89" s="46" t="s">
        <v>459</v>
      </c>
      <c r="B89" s="47" t="s">
        <v>460</v>
      </c>
      <c r="C89" s="46" t="s">
        <v>6</v>
      </c>
      <c r="D89" s="104">
        <f>147.9/12</f>
        <v>12.325000000000001</v>
      </c>
    </row>
    <row r="90" spans="1:4" x14ac:dyDescent="0.25">
      <c r="A90" s="46" t="s">
        <v>461</v>
      </c>
      <c r="B90" s="47" t="s">
        <v>462</v>
      </c>
      <c r="C90" s="46" t="s">
        <v>6</v>
      </c>
      <c r="D90" s="104">
        <f>315/10*1.16</f>
        <v>36.54</v>
      </c>
    </row>
    <row r="91" spans="1:4" x14ac:dyDescent="0.25">
      <c r="A91" s="46" t="s">
        <v>244</v>
      </c>
      <c r="B91" s="47" t="s">
        <v>57</v>
      </c>
      <c r="C91" s="46" t="s">
        <v>5</v>
      </c>
      <c r="D91" s="104">
        <f>36*1.16</f>
        <v>41.76</v>
      </c>
    </row>
    <row r="92" spans="1:4" ht="27.6" x14ac:dyDescent="0.25">
      <c r="A92" s="46" t="s">
        <v>245</v>
      </c>
      <c r="B92" s="47" t="s">
        <v>601</v>
      </c>
      <c r="C92" s="46" t="s">
        <v>297</v>
      </c>
      <c r="D92" s="104">
        <f>230*1.16</f>
        <v>266.79999999999995</v>
      </c>
    </row>
    <row r="93" spans="1:4" x14ac:dyDescent="0.25">
      <c r="A93" s="46" t="s">
        <v>246</v>
      </c>
      <c r="B93" s="47" t="s">
        <v>72</v>
      </c>
      <c r="C93" s="46" t="s">
        <v>6</v>
      </c>
      <c r="D93" s="104">
        <f>(148/12)*1.16</f>
        <v>14.306666666666667</v>
      </c>
    </row>
    <row r="94" spans="1:4" ht="27.6" x14ac:dyDescent="0.25">
      <c r="A94" s="46" t="s">
        <v>247</v>
      </c>
      <c r="B94" s="47" t="s">
        <v>49</v>
      </c>
      <c r="C94" s="46" t="s">
        <v>6</v>
      </c>
      <c r="D94" s="104">
        <f>1138.25/10</f>
        <v>113.825</v>
      </c>
    </row>
    <row r="95" spans="1:4" x14ac:dyDescent="0.25">
      <c r="A95" s="46" t="s">
        <v>248</v>
      </c>
      <c r="B95" s="47" t="s">
        <v>50</v>
      </c>
      <c r="C95" s="46" t="s">
        <v>6</v>
      </c>
      <c r="D95" s="104">
        <f>1358.77/10</f>
        <v>135.87700000000001</v>
      </c>
    </row>
    <row r="96" spans="1:4" x14ac:dyDescent="0.25">
      <c r="A96" s="46" t="s">
        <v>249</v>
      </c>
      <c r="B96" s="47" t="s">
        <v>670</v>
      </c>
      <c r="C96" s="46" t="s">
        <v>6</v>
      </c>
      <c r="D96" s="104">
        <f>58*1.16</f>
        <v>67.28</v>
      </c>
    </row>
    <row r="97" spans="1:4" x14ac:dyDescent="0.25">
      <c r="A97" s="46" t="s">
        <v>250</v>
      </c>
      <c r="B97" s="47" t="s">
        <v>85</v>
      </c>
      <c r="C97" s="46" t="s">
        <v>11</v>
      </c>
      <c r="D97" s="104">
        <f>25.23</f>
        <v>25.23</v>
      </c>
    </row>
    <row r="98" spans="1:4" ht="27.6" x14ac:dyDescent="0.25">
      <c r="A98" s="46" t="s">
        <v>518</v>
      </c>
      <c r="B98" s="47" t="s">
        <v>519</v>
      </c>
      <c r="C98" s="46" t="s">
        <v>6</v>
      </c>
      <c r="D98" s="104">
        <f>36.62</f>
        <v>36.619999999999997</v>
      </c>
    </row>
    <row r="99" spans="1:4" ht="27.6" x14ac:dyDescent="0.25">
      <c r="A99" s="46" t="s">
        <v>520</v>
      </c>
      <c r="B99" s="47" t="s">
        <v>521</v>
      </c>
      <c r="C99" s="46" t="s">
        <v>6</v>
      </c>
      <c r="D99" s="104">
        <f>68*1.16</f>
        <v>78.88</v>
      </c>
    </row>
    <row r="100" spans="1:4" ht="27.6" x14ac:dyDescent="0.25">
      <c r="A100" s="46" t="s">
        <v>251</v>
      </c>
      <c r="B100" s="47" t="s">
        <v>671</v>
      </c>
      <c r="C100" s="46" t="s">
        <v>6</v>
      </c>
      <c r="D100" s="104">
        <f>(98*1.16)/20</f>
        <v>5.6839999999999993</v>
      </c>
    </row>
    <row r="101" spans="1:4" x14ac:dyDescent="0.25">
      <c r="A101" s="46" t="s">
        <v>252</v>
      </c>
      <c r="B101" s="47" t="s">
        <v>71</v>
      </c>
      <c r="C101" s="46" t="s">
        <v>6</v>
      </c>
      <c r="D101" s="104">
        <f>((3*1.16)+(6*1.16))/2</f>
        <v>5.2199999999999989</v>
      </c>
    </row>
    <row r="102" spans="1:4" ht="27.6" x14ac:dyDescent="0.25">
      <c r="A102" s="46" t="s">
        <v>253</v>
      </c>
      <c r="B102" s="47" t="s">
        <v>68</v>
      </c>
      <c r="C102" s="46" t="s">
        <v>5</v>
      </c>
      <c r="D102" s="104">
        <f>(72.5+(135*1.16))/2</f>
        <v>114.55</v>
      </c>
    </row>
    <row r="103" spans="1:4" x14ac:dyDescent="0.25">
      <c r="A103" s="46" t="s">
        <v>254</v>
      </c>
      <c r="B103" s="47" t="s">
        <v>69</v>
      </c>
      <c r="C103" s="46" t="s">
        <v>5</v>
      </c>
      <c r="D103" s="104">
        <f>(185*1.16)</f>
        <v>214.6</v>
      </c>
    </row>
    <row r="104" spans="1:4" ht="27.6" x14ac:dyDescent="0.25">
      <c r="A104" s="46" t="s">
        <v>255</v>
      </c>
      <c r="B104" s="47" t="s">
        <v>47</v>
      </c>
      <c r="C104" s="46" t="s">
        <v>6</v>
      </c>
      <c r="D104" s="104">
        <f>28.83</f>
        <v>28.83</v>
      </c>
    </row>
    <row r="105" spans="1:4" x14ac:dyDescent="0.25">
      <c r="A105" s="46" t="s">
        <v>256</v>
      </c>
      <c r="B105" s="47" t="s">
        <v>661</v>
      </c>
      <c r="C105" s="46" t="s">
        <v>11</v>
      </c>
      <c r="D105" s="104">
        <f>((54.12+78)/2)*1.16</f>
        <v>76.629599999999996</v>
      </c>
    </row>
    <row r="106" spans="1:4" x14ac:dyDescent="0.25">
      <c r="A106" s="46" t="s">
        <v>257</v>
      </c>
      <c r="B106" s="47" t="s">
        <v>76</v>
      </c>
      <c r="C106" s="46" t="s">
        <v>4</v>
      </c>
      <c r="D106" s="104">
        <f>(383.54/96)</f>
        <v>3.9952083333333337</v>
      </c>
    </row>
    <row r="107" spans="1:4" x14ac:dyDescent="0.25">
      <c r="A107" s="46" t="s">
        <v>258</v>
      </c>
      <c r="B107" s="47" t="s">
        <v>63</v>
      </c>
      <c r="C107" s="46" t="s">
        <v>6</v>
      </c>
      <c r="D107" s="104">
        <f>21*1.16</f>
        <v>24.36</v>
      </c>
    </row>
    <row r="108" spans="1:4" x14ac:dyDescent="0.25">
      <c r="A108" s="46" t="s">
        <v>259</v>
      </c>
      <c r="B108" s="47" t="s">
        <v>157</v>
      </c>
      <c r="C108" s="46" t="s">
        <v>6</v>
      </c>
      <c r="D108" s="104">
        <v>7.4</v>
      </c>
    </row>
    <row r="109" spans="1:4" x14ac:dyDescent="0.25">
      <c r="A109" s="46" t="s">
        <v>260</v>
      </c>
      <c r="B109" s="47" t="s">
        <v>74</v>
      </c>
      <c r="C109" s="46" t="s">
        <v>6</v>
      </c>
      <c r="D109" s="104">
        <f>(365*1.16)</f>
        <v>423.4</v>
      </c>
    </row>
    <row r="110" spans="1:4" ht="27.6" x14ac:dyDescent="0.25">
      <c r="A110" s="45" t="s">
        <v>592</v>
      </c>
      <c r="B110" s="117" t="s">
        <v>602</v>
      </c>
      <c r="C110" s="45" t="s">
        <v>6</v>
      </c>
      <c r="D110" s="104">
        <f>525*1.16</f>
        <v>609</v>
      </c>
    </row>
    <row r="111" spans="1:4" x14ac:dyDescent="0.25">
      <c r="A111" s="46" t="s">
        <v>261</v>
      </c>
      <c r="B111" s="47" t="s">
        <v>83</v>
      </c>
      <c r="C111" s="46" t="s">
        <v>6</v>
      </c>
      <c r="D111" s="104">
        <f>825*1.16</f>
        <v>956.99999999999989</v>
      </c>
    </row>
    <row r="112" spans="1:4" x14ac:dyDescent="0.25">
      <c r="A112" s="46" t="s">
        <v>593</v>
      </c>
      <c r="B112" s="47" t="s">
        <v>662</v>
      </c>
      <c r="C112" s="46" t="s">
        <v>11</v>
      </c>
      <c r="D112" s="119">
        <f>685*1.16</f>
        <v>794.59999999999991</v>
      </c>
    </row>
    <row r="113" spans="1:4" ht="41.05" x14ac:dyDescent="0.25">
      <c r="A113" s="46" t="s">
        <v>262</v>
      </c>
      <c r="B113" s="47" t="s">
        <v>603</v>
      </c>
      <c r="C113" s="46" t="s">
        <v>6</v>
      </c>
      <c r="D113" s="104">
        <f>32*1.16</f>
        <v>37.119999999999997</v>
      </c>
    </row>
    <row r="114" spans="1:4" x14ac:dyDescent="0.25">
      <c r="A114" s="46" t="s">
        <v>263</v>
      </c>
      <c r="B114" s="47" t="s">
        <v>44</v>
      </c>
      <c r="C114" s="46" t="s">
        <v>6</v>
      </c>
      <c r="D114" s="104">
        <v>21.05</v>
      </c>
    </row>
    <row r="115" spans="1:4" ht="27.6" x14ac:dyDescent="0.25">
      <c r="A115" s="46" t="s">
        <v>264</v>
      </c>
      <c r="B115" s="47" t="s">
        <v>604</v>
      </c>
      <c r="C115" s="46" t="s">
        <v>90</v>
      </c>
      <c r="D115" s="104">
        <f>28*1.16</f>
        <v>32.479999999999997</v>
      </c>
    </row>
    <row r="116" spans="1:4" x14ac:dyDescent="0.25">
      <c r="A116" s="46" t="s">
        <v>265</v>
      </c>
      <c r="B116" s="47" t="s">
        <v>66</v>
      </c>
      <c r="C116" s="46" t="s">
        <v>6</v>
      </c>
      <c r="D116" s="104">
        <v>25.83</v>
      </c>
    </row>
    <row r="117" spans="1:4" x14ac:dyDescent="0.25">
      <c r="A117" s="46" t="s">
        <v>266</v>
      </c>
      <c r="B117" s="47" t="s">
        <v>51</v>
      </c>
      <c r="C117" s="46" t="s">
        <v>6</v>
      </c>
      <c r="D117" s="104">
        <v>2.7</v>
      </c>
    </row>
    <row r="118" spans="1:4" ht="27.6" x14ac:dyDescent="0.25">
      <c r="A118" s="46" t="s">
        <v>267</v>
      </c>
      <c r="B118" s="47" t="s">
        <v>632</v>
      </c>
      <c r="C118" s="46" t="s">
        <v>6</v>
      </c>
      <c r="D118" s="104">
        <f>65*1.16</f>
        <v>75.399999999999991</v>
      </c>
    </row>
    <row r="119" spans="1:4" x14ac:dyDescent="0.25">
      <c r="A119" s="46" t="s">
        <v>463</v>
      </c>
      <c r="B119" s="47" t="s">
        <v>633</v>
      </c>
      <c r="C119" s="46" t="s">
        <v>6</v>
      </c>
      <c r="D119" s="104">
        <f>16*1.16</f>
        <v>18.559999999999999</v>
      </c>
    </row>
    <row r="120" spans="1:4" x14ac:dyDescent="0.25">
      <c r="A120" s="46" t="s">
        <v>464</v>
      </c>
      <c r="B120" s="47" t="s">
        <v>634</v>
      </c>
      <c r="C120" s="46" t="s">
        <v>6</v>
      </c>
      <c r="D120" s="104">
        <f>16*1.16</f>
        <v>18.559999999999999</v>
      </c>
    </row>
    <row r="121" spans="1:4" x14ac:dyDescent="0.25">
      <c r="A121" s="46" t="s">
        <v>465</v>
      </c>
      <c r="B121" s="47" t="s">
        <v>635</v>
      </c>
      <c r="C121" s="46" t="s">
        <v>6</v>
      </c>
      <c r="D121" s="104">
        <f>16*1.16</f>
        <v>18.559999999999999</v>
      </c>
    </row>
    <row r="122" spans="1:4" ht="27.6" x14ac:dyDescent="0.25">
      <c r="A122" s="46" t="s">
        <v>268</v>
      </c>
      <c r="B122" s="47" t="s">
        <v>605</v>
      </c>
      <c r="C122" s="46" t="s">
        <v>6</v>
      </c>
      <c r="D122" s="104">
        <f>21*1.16</f>
        <v>24.36</v>
      </c>
    </row>
    <row r="123" spans="1:4" x14ac:dyDescent="0.25">
      <c r="A123" s="46" t="s">
        <v>269</v>
      </c>
      <c r="B123" s="47" t="s">
        <v>192</v>
      </c>
      <c r="C123" s="46" t="s">
        <v>6</v>
      </c>
      <c r="D123" s="104">
        <f>185*1.16</f>
        <v>214.6</v>
      </c>
    </row>
    <row r="124" spans="1:4" x14ac:dyDescent="0.25">
      <c r="A124" s="46" t="s">
        <v>270</v>
      </c>
      <c r="B124" s="47" t="s">
        <v>77</v>
      </c>
      <c r="C124" s="46" t="s">
        <v>6</v>
      </c>
      <c r="D124" s="104">
        <f>395*1.16</f>
        <v>458.2</v>
      </c>
    </row>
    <row r="125" spans="1:4" ht="27.6" x14ac:dyDescent="0.25">
      <c r="A125" s="46" t="s">
        <v>271</v>
      </c>
      <c r="B125" s="47" t="s">
        <v>67</v>
      </c>
      <c r="C125" s="46" t="s">
        <v>298</v>
      </c>
      <c r="D125" s="104">
        <v>97.62</v>
      </c>
    </row>
    <row r="126" spans="1:4" x14ac:dyDescent="0.25">
      <c r="A126" s="114">
        <v>1032</v>
      </c>
      <c r="B126" s="47" t="s">
        <v>84</v>
      </c>
      <c r="C126" s="46" t="s">
        <v>11</v>
      </c>
      <c r="D126" s="104">
        <f>24*1.16</f>
        <v>27.839999999999996</v>
      </c>
    </row>
    <row r="127" spans="1:4" x14ac:dyDescent="0.25">
      <c r="A127" s="46" t="s">
        <v>272</v>
      </c>
      <c r="B127" s="47" t="s">
        <v>606</v>
      </c>
      <c r="C127" s="46" t="s">
        <v>6</v>
      </c>
      <c r="D127" s="104">
        <f>28*1.16</f>
        <v>32.479999999999997</v>
      </c>
    </row>
    <row r="128" spans="1:4" x14ac:dyDescent="0.25">
      <c r="A128" s="46" t="s">
        <v>273</v>
      </c>
      <c r="B128" s="47" t="s">
        <v>158</v>
      </c>
      <c r="C128" s="46" t="s">
        <v>6</v>
      </c>
      <c r="D128" s="104">
        <f>26*1.16</f>
        <v>30.159999999999997</v>
      </c>
    </row>
    <row r="129" spans="1:4" ht="27.6" x14ac:dyDescent="0.25">
      <c r="A129" s="46" t="s">
        <v>274</v>
      </c>
      <c r="B129" s="47" t="s">
        <v>663</v>
      </c>
      <c r="C129" s="46" t="s">
        <v>6</v>
      </c>
      <c r="D129" s="104">
        <f>26*1.16</f>
        <v>30.159999999999997</v>
      </c>
    </row>
    <row r="130" spans="1:4" x14ac:dyDescent="0.25">
      <c r="A130" s="46" t="s">
        <v>275</v>
      </c>
      <c r="B130" s="47" t="s">
        <v>636</v>
      </c>
      <c r="C130" s="46" t="s">
        <v>90</v>
      </c>
      <c r="D130" s="104">
        <v>31.07</v>
      </c>
    </row>
    <row r="131" spans="1:4" x14ac:dyDescent="0.25">
      <c r="A131" s="46" t="s">
        <v>466</v>
      </c>
      <c r="B131" s="47" t="s">
        <v>637</v>
      </c>
      <c r="C131" s="46" t="s">
        <v>6</v>
      </c>
      <c r="D131" s="104">
        <f>(192/12)*1.16</f>
        <v>18.559999999999999</v>
      </c>
    </row>
    <row r="132" spans="1:4" x14ac:dyDescent="0.25">
      <c r="A132" s="46" t="s">
        <v>467</v>
      </c>
      <c r="B132" s="47" t="s">
        <v>638</v>
      </c>
      <c r="C132" s="46" t="s">
        <v>6</v>
      </c>
      <c r="D132" s="104">
        <f>16*1.16</f>
        <v>18.559999999999999</v>
      </c>
    </row>
    <row r="133" spans="1:4" x14ac:dyDescent="0.25">
      <c r="A133" s="46" t="s">
        <v>468</v>
      </c>
      <c r="B133" s="47" t="s">
        <v>639</v>
      </c>
      <c r="C133" s="46" t="s">
        <v>6</v>
      </c>
      <c r="D133" s="104">
        <f>16*1.16</f>
        <v>18.559999999999999</v>
      </c>
    </row>
    <row r="134" spans="1:4" x14ac:dyDescent="0.25">
      <c r="A134" s="46" t="s">
        <v>276</v>
      </c>
      <c r="B134" s="47" t="s">
        <v>81</v>
      </c>
      <c r="C134" s="46" t="s">
        <v>11</v>
      </c>
      <c r="D134" s="104">
        <f>49*1.16</f>
        <v>56.839999999999996</v>
      </c>
    </row>
    <row r="135" spans="1:4" x14ac:dyDescent="0.25">
      <c r="A135" s="46" t="s">
        <v>277</v>
      </c>
      <c r="B135" s="47" t="s">
        <v>640</v>
      </c>
      <c r="C135" s="46" t="s">
        <v>6</v>
      </c>
      <c r="D135" s="104">
        <f>132*1.16</f>
        <v>153.11999999999998</v>
      </c>
    </row>
    <row r="136" spans="1:4" ht="27.6" x14ac:dyDescent="0.25">
      <c r="A136" s="46" t="s">
        <v>278</v>
      </c>
      <c r="B136" s="47" t="s">
        <v>641</v>
      </c>
      <c r="C136" s="46" t="s">
        <v>6</v>
      </c>
      <c r="D136" s="104">
        <v>103.24</v>
      </c>
    </row>
    <row r="137" spans="1:4" ht="27.6" x14ac:dyDescent="0.25">
      <c r="A137" s="46" t="s">
        <v>279</v>
      </c>
      <c r="B137" s="47" t="s">
        <v>672</v>
      </c>
      <c r="C137" s="46" t="s">
        <v>6</v>
      </c>
      <c r="D137" s="104">
        <f>69*1.16</f>
        <v>80.039999999999992</v>
      </c>
    </row>
    <row r="138" spans="1:4" ht="27.6" x14ac:dyDescent="0.25">
      <c r="A138" s="46" t="s">
        <v>280</v>
      </c>
      <c r="B138" s="47" t="s">
        <v>522</v>
      </c>
      <c r="C138" s="46" t="s">
        <v>6</v>
      </c>
      <c r="D138" s="104">
        <f>32*1.16</f>
        <v>37.119999999999997</v>
      </c>
    </row>
    <row r="139" spans="1:4" x14ac:dyDescent="0.25">
      <c r="A139" s="46" t="s">
        <v>281</v>
      </c>
      <c r="B139" s="47" t="s">
        <v>523</v>
      </c>
      <c r="C139" s="46" t="s">
        <v>6</v>
      </c>
      <c r="D139" s="104">
        <f>(((280.93*1.16)+(170.69*1.16))/2)/50</f>
        <v>5.2387920000000001</v>
      </c>
    </row>
    <row r="140" spans="1:4" x14ac:dyDescent="0.25">
      <c r="A140" s="46" t="s">
        <v>282</v>
      </c>
      <c r="B140" s="47" t="s">
        <v>524</v>
      </c>
      <c r="C140" s="46" t="s">
        <v>11</v>
      </c>
      <c r="D140" s="104">
        <f>39*1.16</f>
        <v>45.239999999999995</v>
      </c>
    </row>
    <row r="141" spans="1:4" x14ac:dyDescent="0.25">
      <c r="A141" s="46" t="s">
        <v>283</v>
      </c>
      <c r="B141" s="47" t="s">
        <v>525</v>
      </c>
      <c r="C141" s="46" t="s">
        <v>11</v>
      </c>
      <c r="D141" s="104">
        <f>26*1.16</f>
        <v>30.159999999999997</v>
      </c>
    </row>
    <row r="142" spans="1:4" x14ac:dyDescent="0.25">
      <c r="A142" s="46" t="s">
        <v>284</v>
      </c>
      <c r="B142" s="47" t="s">
        <v>43</v>
      </c>
      <c r="C142" s="46" t="s">
        <v>9</v>
      </c>
      <c r="D142" s="104">
        <v>196.04</v>
      </c>
    </row>
    <row r="143" spans="1:4" x14ac:dyDescent="0.25">
      <c r="A143" s="46" t="s">
        <v>285</v>
      </c>
      <c r="B143" s="47" t="s">
        <v>80</v>
      </c>
      <c r="C143" s="46" t="s">
        <v>91</v>
      </c>
      <c r="D143" s="104">
        <f>9*1.16</f>
        <v>10.44</v>
      </c>
    </row>
    <row r="144" spans="1:4" x14ac:dyDescent="0.25">
      <c r="A144" s="46" t="s">
        <v>286</v>
      </c>
      <c r="B144" s="47" t="s">
        <v>642</v>
      </c>
      <c r="C144" s="46" t="s">
        <v>6</v>
      </c>
      <c r="D144" s="104">
        <f>16*1.16</f>
        <v>18.559999999999999</v>
      </c>
    </row>
    <row r="145" spans="1:4" x14ac:dyDescent="0.25">
      <c r="A145" s="46" t="s">
        <v>287</v>
      </c>
      <c r="B145" s="47" t="s">
        <v>673</v>
      </c>
      <c r="C145" s="46" t="s">
        <v>8</v>
      </c>
      <c r="D145" s="104">
        <f>80.6*1.16</f>
        <v>93.495999999999981</v>
      </c>
    </row>
    <row r="146" spans="1:4" x14ac:dyDescent="0.25">
      <c r="A146" s="46" t="s">
        <v>288</v>
      </c>
      <c r="B146" s="47" t="s">
        <v>193</v>
      </c>
      <c r="C146" s="46" t="s">
        <v>5</v>
      </c>
      <c r="D146" s="119">
        <f>9.68</f>
        <v>9.68</v>
      </c>
    </row>
    <row r="147" spans="1:4" x14ac:dyDescent="0.25">
      <c r="A147" s="46" t="s">
        <v>289</v>
      </c>
      <c r="B147" s="47" t="s">
        <v>160</v>
      </c>
      <c r="C147" s="46" t="s">
        <v>5</v>
      </c>
      <c r="D147" s="104">
        <f>38*1.16</f>
        <v>44.08</v>
      </c>
    </row>
    <row r="148" spans="1:4" x14ac:dyDescent="0.25">
      <c r="A148" s="46" t="s">
        <v>290</v>
      </c>
      <c r="B148" s="47" t="s">
        <v>194</v>
      </c>
      <c r="C148" s="46" t="s">
        <v>5</v>
      </c>
      <c r="D148" s="104">
        <f>58.13</f>
        <v>58.13</v>
      </c>
    </row>
    <row r="149" spans="1:4" x14ac:dyDescent="0.25">
      <c r="A149" s="46" t="s">
        <v>291</v>
      </c>
      <c r="B149" s="47" t="s">
        <v>526</v>
      </c>
      <c r="C149" s="46" t="s">
        <v>6</v>
      </c>
      <c r="D149" s="104">
        <f>98*1.16</f>
        <v>113.67999999999999</v>
      </c>
    </row>
    <row r="150" spans="1:4" x14ac:dyDescent="0.25">
      <c r="A150" s="46" t="s">
        <v>292</v>
      </c>
      <c r="B150" s="47" t="s">
        <v>643</v>
      </c>
      <c r="C150" s="46" t="s">
        <v>5</v>
      </c>
      <c r="D150" s="104">
        <f>156*1.16</f>
        <v>180.95999999999998</v>
      </c>
    </row>
    <row r="151" spans="1:4" x14ac:dyDescent="0.25">
      <c r="A151" s="46" t="s">
        <v>293</v>
      </c>
      <c r="B151" s="47" t="s">
        <v>527</v>
      </c>
      <c r="C151" s="46" t="s">
        <v>6</v>
      </c>
      <c r="D151" s="104">
        <v>308.44</v>
      </c>
    </row>
    <row r="152" spans="1:4" x14ac:dyDescent="0.25">
      <c r="A152" s="46" t="s">
        <v>294</v>
      </c>
      <c r="B152" s="47" t="s">
        <v>87</v>
      </c>
      <c r="C152" s="46" t="s">
        <v>299</v>
      </c>
      <c r="D152" s="104">
        <f>2060*1.16</f>
        <v>2389.6</v>
      </c>
    </row>
    <row r="153" spans="1:4" x14ac:dyDescent="0.25">
      <c r="A153" s="46" t="s">
        <v>295</v>
      </c>
      <c r="B153" s="47" t="s">
        <v>528</v>
      </c>
      <c r="C153" s="46" t="s">
        <v>9</v>
      </c>
      <c r="D153" s="104">
        <f>110*1.16</f>
        <v>127.6</v>
      </c>
    </row>
    <row r="154" spans="1:4" x14ac:dyDescent="0.25">
      <c r="A154" s="46" t="s">
        <v>296</v>
      </c>
      <c r="B154" s="47" t="s">
        <v>65</v>
      </c>
      <c r="C154" s="46" t="s">
        <v>9</v>
      </c>
      <c r="D154" s="104">
        <f>49.01*1.16</f>
        <v>56.851599999999991</v>
      </c>
    </row>
  </sheetData>
  <phoneticPr fontId="16" type="noConversion"/>
  <pageMargins left="0.25" right="0.25" top="0.75" bottom="0.75" header="0.3" footer="0.3"/>
  <pageSetup orientation="portrait" r:id="rId1"/>
  <headerFooter>
    <oddHeader xml:space="preserve">&amp;L&amp;G&amp;C&amp;22 24-Artículos de papelería y de escritorio&amp;RVersión 2025-01
</oddHeader>
    <oddFooter>&amp;RNota: Los precios tienen un valor promedio, éste depende del valor del lote de procedencia, por lo que sólo considerelo como una referencia. Las existencias pueden variar de acuerdo a la demanda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7030A0"/>
  </sheetPr>
  <dimension ref="A3:D116"/>
  <sheetViews>
    <sheetView showGridLines="0" showRowColHeaders="0" showRuler="0" view="pageLayout" topLeftCell="A26" zoomScale="130" zoomScaleNormal="87" zoomScalePageLayoutView="130" workbookViewId="0">
      <selection activeCell="D113" sqref="D113"/>
    </sheetView>
  </sheetViews>
  <sheetFormatPr baseColWidth="10" defaultRowHeight="14.15" x14ac:dyDescent="0.25"/>
  <cols>
    <col min="1" max="1" width="8.5" bestFit="1" customWidth="1"/>
    <col min="2" max="2" width="54" bestFit="1" customWidth="1"/>
    <col min="3" max="3" width="9.875" customWidth="1"/>
    <col min="4" max="4" width="12.75" customWidth="1"/>
  </cols>
  <sheetData>
    <row r="3" spans="1:4" x14ac:dyDescent="0.25">
      <c r="A3" s="48" t="s">
        <v>2</v>
      </c>
      <c r="B3" s="49" t="s">
        <v>3</v>
      </c>
      <c r="C3" s="50" t="s">
        <v>1</v>
      </c>
      <c r="D3" s="51" t="s">
        <v>674</v>
      </c>
    </row>
    <row r="4" spans="1:4" ht="27.6" x14ac:dyDescent="0.25">
      <c r="A4" s="46">
        <v>1040</v>
      </c>
      <c r="B4" s="47" t="s">
        <v>692</v>
      </c>
      <c r="C4" s="46" t="s">
        <v>4</v>
      </c>
      <c r="D4" s="104">
        <f>161*1.16</f>
        <v>186.76</v>
      </c>
    </row>
    <row r="5" spans="1:4" ht="27.6" x14ac:dyDescent="0.25">
      <c r="A5" s="46">
        <v>1045</v>
      </c>
      <c r="B5" s="47" t="s">
        <v>532</v>
      </c>
      <c r="C5" s="46" t="s">
        <v>4</v>
      </c>
      <c r="D5" s="104">
        <f>968*1.16</f>
        <v>1122.8799999999999</v>
      </c>
    </row>
    <row r="6" spans="1:4" x14ac:dyDescent="0.25">
      <c r="A6" s="46">
        <v>1047</v>
      </c>
      <c r="B6" s="47" t="s">
        <v>159</v>
      </c>
      <c r="C6" s="46" t="s">
        <v>4</v>
      </c>
      <c r="D6" s="104">
        <f>540*1.16</f>
        <v>626.4</v>
      </c>
    </row>
    <row r="7" spans="1:4" x14ac:dyDescent="0.25">
      <c r="A7" s="46">
        <v>1069</v>
      </c>
      <c r="B7" s="47" t="s">
        <v>533</v>
      </c>
      <c r="C7" s="46" t="s">
        <v>6</v>
      </c>
      <c r="D7" s="104">
        <f>66.5*1.16</f>
        <v>77.14</v>
      </c>
    </row>
    <row r="8" spans="1:4" x14ac:dyDescent="0.25">
      <c r="A8" s="46">
        <v>1079</v>
      </c>
      <c r="B8" s="47" t="s">
        <v>534</v>
      </c>
      <c r="C8" s="46" t="s">
        <v>11</v>
      </c>
      <c r="D8" s="104">
        <f>148.97*1.16</f>
        <v>172.80519999999999</v>
      </c>
    </row>
    <row r="9" spans="1:4" x14ac:dyDescent="0.25">
      <c r="A9" s="46">
        <v>6000</v>
      </c>
      <c r="B9" s="47" t="s">
        <v>34</v>
      </c>
      <c r="C9" s="46" t="s">
        <v>6</v>
      </c>
      <c r="D9" s="104">
        <f>55.5*1.16</f>
        <v>64.38</v>
      </c>
    </row>
    <row r="10" spans="1:4" x14ac:dyDescent="0.25">
      <c r="A10" s="46">
        <v>6001</v>
      </c>
      <c r="B10" s="47" t="s">
        <v>37</v>
      </c>
      <c r="C10" s="46" t="s">
        <v>6</v>
      </c>
      <c r="D10" s="104">
        <f>62.5*1.16</f>
        <v>72.5</v>
      </c>
    </row>
    <row r="11" spans="1:4" x14ac:dyDescent="0.25">
      <c r="A11" s="46">
        <v>6002</v>
      </c>
      <c r="B11" s="47" t="s">
        <v>39</v>
      </c>
      <c r="C11" s="46" t="s">
        <v>6</v>
      </c>
      <c r="D11" s="104">
        <f>57*1.16</f>
        <v>66.11999999999999</v>
      </c>
    </row>
    <row r="12" spans="1:4" x14ac:dyDescent="0.25">
      <c r="A12" s="46">
        <v>6003</v>
      </c>
      <c r="B12" s="47" t="s">
        <v>41</v>
      </c>
      <c r="C12" s="46" t="s">
        <v>6</v>
      </c>
      <c r="D12" s="104">
        <f>50.8*1.16</f>
        <v>58.92799999999999</v>
      </c>
    </row>
    <row r="13" spans="1:4" x14ac:dyDescent="0.25">
      <c r="A13" s="46">
        <v>6004</v>
      </c>
      <c r="B13" s="47" t="s">
        <v>35</v>
      </c>
      <c r="C13" s="46" t="s">
        <v>6</v>
      </c>
      <c r="D13" s="104">
        <f>55.72*1.16</f>
        <v>64.635199999999998</v>
      </c>
    </row>
    <row r="14" spans="1:4" x14ac:dyDescent="0.25">
      <c r="A14" s="46">
        <v>6005</v>
      </c>
      <c r="B14" s="47" t="s">
        <v>36</v>
      </c>
      <c r="C14" s="46" t="s">
        <v>6</v>
      </c>
      <c r="D14" s="104">
        <f>50.81*1.16</f>
        <v>58.939599999999999</v>
      </c>
    </row>
    <row r="15" spans="1:4" x14ac:dyDescent="0.25">
      <c r="A15" s="46">
        <v>6006</v>
      </c>
      <c r="B15" s="47" t="s">
        <v>38</v>
      </c>
      <c r="C15" s="46" t="s">
        <v>6</v>
      </c>
      <c r="D15" s="104">
        <f>86*1.16</f>
        <v>99.759999999999991</v>
      </c>
    </row>
    <row r="16" spans="1:4" x14ac:dyDescent="0.25">
      <c r="A16" s="46">
        <v>6007</v>
      </c>
      <c r="B16" s="47" t="s">
        <v>40</v>
      </c>
      <c r="C16" s="46" t="s">
        <v>6</v>
      </c>
      <c r="D16" s="104">
        <f>92*1.16</f>
        <v>106.72</v>
      </c>
    </row>
    <row r="17" spans="1:4" x14ac:dyDescent="0.25">
      <c r="A17" s="46">
        <v>6008</v>
      </c>
      <c r="B17" s="47" t="s">
        <v>42</v>
      </c>
      <c r="C17" s="46" t="s">
        <v>6</v>
      </c>
      <c r="D17" s="104">
        <f>118*1.16</f>
        <v>136.88</v>
      </c>
    </row>
    <row r="18" spans="1:4" x14ac:dyDescent="0.25">
      <c r="A18" s="46">
        <v>6009</v>
      </c>
      <c r="B18" s="47" t="s">
        <v>146</v>
      </c>
      <c r="C18" s="46" t="s">
        <v>6</v>
      </c>
      <c r="D18" s="104">
        <v>82.13</v>
      </c>
    </row>
    <row r="19" spans="1:4" x14ac:dyDescent="0.25">
      <c r="A19" s="46">
        <v>6010</v>
      </c>
      <c r="B19" s="47" t="s">
        <v>535</v>
      </c>
      <c r="C19" s="46" t="s">
        <v>6</v>
      </c>
      <c r="D19" s="104">
        <f>188*1.16</f>
        <v>218.07999999999998</v>
      </c>
    </row>
    <row r="20" spans="1:4" x14ac:dyDescent="0.25">
      <c r="A20" s="46">
        <v>6011</v>
      </c>
      <c r="B20" s="47" t="s">
        <v>536</v>
      </c>
      <c r="C20" s="46" t="s">
        <v>6</v>
      </c>
      <c r="D20" s="104">
        <f>((339*1.16)+(352.66*1.16))/2</f>
        <v>401.16279999999995</v>
      </c>
    </row>
    <row r="21" spans="1:4" x14ac:dyDescent="0.25">
      <c r="A21" s="46">
        <v>6012</v>
      </c>
      <c r="B21" s="47" t="s">
        <v>537</v>
      </c>
      <c r="C21" s="46" t="s">
        <v>6</v>
      </c>
      <c r="D21" s="104">
        <v>1291.08</v>
      </c>
    </row>
    <row r="22" spans="1:4" x14ac:dyDescent="0.25">
      <c r="A22" s="46">
        <v>6013</v>
      </c>
      <c r="B22" s="47" t="s">
        <v>538</v>
      </c>
      <c r="C22" s="46" t="s">
        <v>6</v>
      </c>
      <c r="D22" s="104">
        <f>((199.16*1.16)+(170.72*1.16))/2</f>
        <v>214.53039999999999</v>
      </c>
    </row>
    <row r="23" spans="1:4" x14ac:dyDescent="0.25">
      <c r="A23" s="46">
        <v>6014</v>
      </c>
      <c r="B23" s="47" t="s">
        <v>539</v>
      </c>
      <c r="C23" s="46" t="s">
        <v>6</v>
      </c>
      <c r="D23" s="104">
        <f>((61.32*1.16)+(69.26*1.16))/2</f>
        <v>75.736400000000003</v>
      </c>
    </row>
    <row r="24" spans="1:4" x14ac:dyDescent="0.25">
      <c r="A24" s="46">
        <v>6015</v>
      </c>
      <c r="B24" s="47" t="s">
        <v>540</v>
      </c>
      <c r="C24" s="46" t="s">
        <v>6</v>
      </c>
      <c r="D24" s="104">
        <f>87*1.16</f>
        <v>100.91999999999999</v>
      </c>
    </row>
    <row r="25" spans="1:4" x14ac:dyDescent="0.25">
      <c r="A25" s="46">
        <v>6016</v>
      </c>
      <c r="B25" s="47" t="s">
        <v>541</v>
      </c>
      <c r="C25" s="46" t="s">
        <v>6</v>
      </c>
      <c r="D25" s="104">
        <f>110*1.16</f>
        <v>127.6</v>
      </c>
    </row>
    <row r="26" spans="1:4" ht="27.6" x14ac:dyDescent="0.25">
      <c r="A26" s="46">
        <v>6018</v>
      </c>
      <c r="B26" s="47" t="s">
        <v>542</v>
      </c>
      <c r="C26" s="46" t="s">
        <v>6</v>
      </c>
      <c r="D26" s="104">
        <f>109*1.16</f>
        <v>126.44</v>
      </c>
    </row>
    <row r="27" spans="1:4" x14ac:dyDescent="0.25">
      <c r="A27" s="46">
        <v>6019</v>
      </c>
      <c r="B27" s="47" t="s">
        <v>543</v>
      </c>
      <c r="C27" s="46" t="s">
        <v>6</v>
      </c>
      <c r="D27" s="104">
        <f>137*1.16</f>
        <v>158.91999999999999</v>
      </c>
    </row>
    <row r="28" spans="1:4" x14ac:dyDescent="0.25">
      <c r="A28" s="46">
        <v>6020</v>
      </c>
      <c r="B28" s="47" t="s">
        <v>693</v>
      </c>
      <c r="C28" s="46" t="s">
        <v>6</v>
      </c>
      <c r="D28" s="104">
        <f>230*1.16</f>
        <v>266.79999999999995</v>
      </c>
    </row>
    <row r="29" spans="1:4" x14ac:dyDescent="0.25">
      <c r="A29" s="46">
        <v>6021</v>
      </c>
      <c r="B29" s="47" t="s">
        <v>147</v>
      </c>
      <c r="C29" s="46" t="s">
        <v>6</v>
      </c>
      <c r="D29" s="104">
        <f>593*1.16</f>
        <v>687.88</v>
      </c>
    </row>
    <row r="30" spans="1:4" x14ac:dyDescent="0.25">
      <c r="A30" s="46">
        <v>6022</v>
      </c>
      <c r="B30" s="47" t="s">
        <v>544</v>
      </c>
      <c r="C30" s="46" t="s">
        <v>6</v>
      </c>
      <c r="D30" s="104">
        <v>1843.75</v>
      </c>
    </row>
    <row r="31" spans="1:4" x14ac:dyDescent="0.25">
      <c r="A31" s="46">
        <v>6023</v>
      </c>
      <c r="B31" s="47" t="s">
        <v>545</v>
      </c>
      <c r="C31" s="46" t="s">
        <v>6</v>
      </c>
      <c r="D31" s="104">
        <v>742.11</v>
      </c>
    </row>
    <row r="32" spans="1:4" x14ac:dyDescent="0.25">
      <c r="A32" s="46">
        <v>6024</v>
      </c>
      <c r="B32" s="47" t="s">
        <v>546</v>
      </c>
      <c r="C32" s="46" t="s">
        <v>6</v>
      </c>
      <c r="D32" s="104">
        <f>431*1.16</f>
        <v>499.96</v>
      </c>
    </row>
    <row r="33" spans="1:4" x14ac:dyDescent="0.25">
      <c r="A33" s="46">
        <v>6026</v>
      </c>
      <c r="B33" s="47" t="s">
        <v>694</v>
      </c>
      <c r="C33" s="46" t="s">
        <v>6</v>
      </c>
      <c r="D33" s="104">
        <v>515.97</v>
      </c>
    </row>
    <row r="34" spans="1:4" x14ac:dyDescent="0.25">
      <c r="A34" s="46">
        <v>6027</v>
      </c>
      <c r="B34" s="47" t="s">
        <v>547</v>
      </c>
      <c r="C34" s="46" t="s">
        <v>6</v>
      </c>
      <c r="D34" s="104">
        <f>467*1.16</f>
        <v>541.71999999999991</v>
      </c>
    </row>
    <row r="35" spans="1:4" x14ac:dyDescent="0.25">
      <c r="A35" s="46">
        <v>6028</v>
      </c>
      <c r="B35" s="47" t="s">
        <v>548</v>
      </c>
      <c r="C35" s="46" t="s">
        <v>6</v>
      </c>
      <c r="D35" s="104">
        <v>307.63</v>
      </c>
    </row>
    <row r="36" spans="1:4" x14ac:dyDescent="0.25">
      <c r="A36" s="46">
        <v>6029</v>
      </c>
      <c r="B36" s="47" t="s">
        <v>695</v>
      </c>
      <c r="C36" s="46" t="s">
        <v>6</v>
      </c>
      <c r="D36" s="104">
        <v>415.68</v>
      </c>
    </row>
    <row r="37" spans="1:4" x14ac:dyDescent="0.25">
      <c r="A37" s="46">
        <v>6030</v>
      </c>
      <c r="B37" s="47" t="s">
        <v>549</v>
      </c>
      <c r="C37" s="46" t="s">
        <v>6</v>
      </c>
      <c r="D37" s="104">
        <v>832.21</v>
      </c>
    </row>
    <row r="38" spans="1:4" ht="27.6" x14ac:dyDescent="0.25">
      <c r="A38" s="46">
        <v>6060</v>
      </c>
      <c r="B38" s="47" t="s">
        <v>607</v>
      </c>
      <c r="C38" s="46" t="s">
        <v>6</v>
      </c>
      <c r="D38" s="104">
        <f>1406.31*1.16</f>
        <v>1631.3195999999998</v>
      </c>
    </row>
    <row r="39" spans="1:4" x14ac:dyDescent="0.25">
      <c r="A39" s="46">
        <v>6061</v>
      </c>
      <c r="B39" s="47" t="s">
        <v>608</v>
      </c>
      <c r="C39" s="46" t="s">
        <v>6</v>
      </c>
      <c r="D39" s="104">
        <f>2285*1.16</f>
        <v>2650.6</v>
      </c>
    </row>
    <row r="40" spans="1:4" x14ac:dyDescent="0.25">
      <c r="A40" s="46">
        <v>6069</v>
      </c>
      <c r="B40" s="47" t="s">
        <v>550</v>
      </c>
      <c r="C40" s="46" t="s">
        <v>6</v>
      </c>
      <c r="D40" s="104">
        <f>351*1.16</f>
        <v>407.15999999999997</v>
      </c>
    </row>
    <row r="41" spans="1:4" hidden="1" x14ac:dyDescent="0.25">
      <c r="A41" s="46">
        <v>6070</v>
      </c>
      <c r="B41" s="47" t="s">
        <v>551</v>
      </c>
      <c r="C41" s="46" t="s">
        <v>6</v>
      </c>
      <c r="D41" s="104">
        <f>375*1.16</f>
        <v>434.99999999999994</v>
      </c>
    </row>
    <row r="42" spans="1:4" ht="27.6" hidden="1" x14ac:dyDescent="0.25">
      <c r="A42" s="46">
        <v>6072</v>
      </c>
      <c r="B42" s="47" t="s">
        <v>552</v>
      </c>
      <c r="C42" s="46" t="s">
        <v>6</v>
      </c>
      <c r="D42" s="122">
        <f>219*1.16</f>
        <v>254.04</v>
      </c>
    </row>
    <row r="43" spans="1:4" x14ac:dyDescent="0.25">
      <c r="A43" s="46">
        <v>6073</v>
      </c>
      <c r="B43" s="47" t="s">
        <v>553</v>
      </c>
      <c r="C43" s="46" t="s">
        <v>6</v>
      </c>
      <c r="D43" s="104">
        <f>425*1.16</f>
        <v>492.99999999999994</v>
      </c>
    </row>
    <row r="44" spans="1:4" x14ac:dyDescent="0.25">
      <c r="A44" s="46">
        <v>6074</v>
      </c>
      <c r="B44" s="47" t="s">
        <v>554</v>
      </c>
      <c r="C44" s="46" t="s">
        <v>6</v>
      </c>
      <c r="D44" s="122">
        <f>444*1.16</f>
        <v>515.04</v>
      </c>
    </row>
    <row r="45" spans="1:4" x14ac:dyDescent="0.25">
      <c r="A45" s="46">
        <v>6075</v>
      </c>
      <c r="B45" s="47" t="s">
        <v>555</v>
      </c>
      <c r="C45" s="46" t="s">
        <v>6</v>
      </c>
      <c r="D45" s="122">
        <f>475*1.16</f>
        <v>551</v>
      </c>
    </row>
    <row r="46" spans="1:4" x14ac:dyDescent="0.25">
      <c r="A46" s="46">
        <v>6077</v>
      </c>
      <c r="B46" s="47" t="s">
        <v>556</v>
      </c>
      <c r="C46" s="46" t="s">
        <v>6</v>
      </c>
      <c r="D46" s="104">
        <v>445.88</v>
      </c>
    </row>
    <row r="47" spans="1:4" x14ac:dyDescent="0.25">
      <c r="A47" s="46">
        <v>6078</v>
      </c>
      <c r="B47" s="47" t="s">
        <v>557</v>
      </c>
      <c r="C47" s="46" t="s">
        <v>6</v>
      </c>
      <c r="D47" s="104">
        <v>476.03</v>
      </c>
    </row>
    <row r="48" spans="1:4" x14ac:dyDescent="0.25">
      <c r="A48" s="46">
        <v>6079</v>
      </c>
      <c r="B48" s="47" t="s">
        <v>558</v>
      </c>
      <c r="C48" s="46" t="s">
        <v>6</v>
      </c>
      <c r="D48" s="104">
        <f>675.91*1.16</f>
        <v>784.05559999999991</v>
      </c>
    </row>
    <row r="49" spans="1:4" x14ac:dyDescent="0.25">
      <c r="A49" s="46">
        <v>6080</v>
      </c>
      <c r="B49" s="47" t="s">
        <v>148</v>
      </c>
      <c r="C49" s="46" t="s">
        <v>6</v>
      </c>
      <c r="D49" s="122">
        <f>652.94*1.16</f>
        <v>757.41039999999998</v>
      </c>
    </row>
    <row r="50" spans="1:4" x14ac:dyDescent="0.25">
      <c r="A50" s="46">
        <v>6081</v>
      </c>
      <c r="B50" s="47" t="s">
        <v>559</v>
      </c>
      <c r="C50" s="46" t="s">
        <v>6</v>
      </c>
      <c r="D50" s="104">
        <f>986.58</f>
        <v>986.58</v>
      </c>
    </row>
    <row r="51" spans="1:4" x14ac:dyDescent="0.25">
      <c r="A51" s="46">
        <v>6082</v>
      </c>
      <c r="B51" s="47" t="s">
        <v>560</v>
      </c>
      <c r="C51" s="46" t="s">
        <v>6</v>
      </c>
      <c r="D51" s="104">
        <f>((1627*1.16)+(1446.53*1.16))/2</f>
        <v>1782.6473999999998</v>
      </c>
    </row>
    <row r="52" spans="1:4" ht="27.6" x14ac:dyDescent="0.25">
      <c r="A52" s="46">
        <v>6083</v>
      </c>
      <c r="B52" s="47" t="s">
        <v>561</v>
      </c>
      <c r="C52" s="46" t="s">
        <v>6</v>
      </c>
      <c r="D52" s="104">
        <f>((1532.77*1.16)+(1614.33*1.16))/2</f>
        <v>1825.3179999999998</v>
      </c>
    </row>
    <row r="53" spans="1:4" ht="27.6" x14ac:dyDescent="0.25">
      <c r="A53" s="46">
        <v>6085</v>
      </c>
      <c r="B53" s="47" t="s">
        <v>562</v>
      </c>
      <c r="C53" s="46" t="s">
        <v>6</v>
      </c>
      <c r="D53" s="104">
        <f>1772.01*1.16</f>
        <v>2055.5315999999998</v>
      </c>
    </row>
    <row r="54" spans="1:4" x14ac:dyDescent="0.25">
      <c r="A54" s="46">
        <v>6087</v>
      </c>
      <c r="B54" s="47" t="s">
        <v>14</v>
      </c>
      <c r="C54" s="46" t="s">
        <v>6</v>
      </c>
      <c r="D54" s="104">
        <f>((2536.52*1.16)+(2263.63*1.16))/2</f>
        <v>2784.0869999999995</v>
      </c>
    </row>
    <row r="55" spans="1:4" x14ac:dyDescent="0.25">
      <c r="A55" s="46">
        <v>6090</v>
      </c>
      <c r="B55" s="47" t="s">
        <v>15</v>
      </c>
      <c r="C55" s="46" t="s">
        <v>6</v>
      </c>
      <c r="D55" s="104">
        <f>187*1.16</f>
        <v>216.92</v>
      </c>
    </row>
    <row r="56" spans="1:4" x14ac:dyDescent="0.25">
      <c r="A56" s="46">
        <v>6091</v>
      </c>
      <c r="B56" s="47" t="s">
        <v>16</v>
      </c>
      <c r="C56" s="46" t="s">
        <v>6</v>
      </c>
      <c r="D56" s="104">
        <v>153.19999999999999</v>
      </c>
    </row>
    <row r="57" spans="1:4" x14ac:dyDescent="0.25">
      <c r="A57" s="46">
        <v>6114</v>
      </c>
      <c r="B57" s="47" t="s">
        <v>18</v>
      </c>
      <c r="C57" s="46" t="s">
        <v>6</v>
      </c>
      <c r="D57" s="104">
        <f>90*1.16</f>
        <v>104.39999999999999</v>
      </c>
    </row>
    <row r="58" spans="1:4" x14ac:dyDescent="0.25">
      <c r="A58" s="46">
        <v>6115</v>
      </c>
      <c r="B58" s="47" t="s">
        <v>17</v>
      </c>
      <c r="C58" s="46" t="s">
        <v>6</v>
      </c>
      <c r="D58" s="104">
        <f>98.28*1.16</f>
        <v>114.00479999999999</v>
      </c>
    </row>
    <row r="59" spans="1:4" x14ac:dyDescent="0.25">
      <c r="A59" s="46">
        <v>6153</v>
      </c>
      <c r="B59" s="47" t="s">
        <v>149</v>
      </c>
      <c r="C59" s="46" t="s">
        <v>6</v>
      </c>
      <c r="D59" s="104">
        <f>832.91*1.16</f>
        <v>966.17559999999992</v>
      </c>
    </row>
    <row r="60" spans="1:4" ht="27.6" x14ac:dyDescent="0.25">
      <c r="A60" s="46">
        <v>6157</v>
      </c>
      <c r="B60" s="47" t="s">
        <v>563</v>
      </c>
      <c r="C60" s="46" t="s">
        <v>6</v>
      </c>
      <c r="D60" s="104">
        <f>71*1.16</f>
        <v>82.36</v>
      </c>
    </row>
    <row r="61" spans="1:4" x14ac:dyDescent="0.25">
      <c r="A61" s="46">
        <v>6158</v>
      </c>
      <c r="B61" s="47" t="s">
        <v>564</v>
      </c>
      <c r="C61" s="46" t="s">
        <v>6</v>
      </c>
      <c r="D61" s="104">
        <f>125*1.16</f>
        <v>145</v>
      </c>
    </row>
    <row r="62" spans="1:4" x14ac:dyDescent="0.25">
      <c r="A62" s="46">
        <v>6159</v>
      </c>
      <c r="B62" s="47" t="s">
        <v>27</v>
      </c>
      <c r="C62" s="46" t="s">
        <v>6</v>
      </c>
      <c r="D62" s="104">
        <f>184*1.16</f>
        <v>213.44</v>
      </c>
    </row>
    <row r="63" spans="1:4" ht="27.6" x14ac:dyDescent="0.25">
      <c r="A63" s="46">
        <v>6160</v>
      </c>
      <c r="B63" s="47" t="s">
        <v>609</v>
      </c>
      <c r="C63" s="46" t="s">
        <v>5</v>
      </c>
      <c r="D63" s="104">
        <f>580*1.16</f>
        <v>672.8</v>
      </c>
    </row>
    <row r="64" spans="1:4" ht="27.6" x14ac:dyDescent="0.25">
      <c r="A64" s="46">
        <v>6162</v>
      </c>
      <c r="B64" s="47" t="s">
        <v>610</v>
      </c>
      <c r="C64" s="46" t="s">
        <v>6</v>
      </c>
      <c r="D64" s="104">
        <f>348.58*1.16</f>
        <v>404.35279999999995</v>
      </c>
    </row>
    <row r="65" spans="1:4" ht="27.6" x14ac:dyDescent="0.25">
      <c r="A65" s="46">
        <v>6163</v>
      </c>
      <c r="B65" s="47" t="s">
        <v>611</v>
      </c>
      <c r="C65" s="46" t="s">
        <v>6</v>
      </c>
      <c r="D65" s="104">
        <f>236*1.16</f>
        <v>273.76</v>
      </c>
    </row>
    <row r="66" spans="1:4" ht="27.6" x14ac:dyDescent="0.25">
      <c r="A66" s="46">
        <v>6164</v>
      </c>
      <c r="B66" s="47" t="s">
        <v>612</v>
      </c>
      <c r="C66" s="46" t="s">
        <v>6</v>
      </c>
      <c r="D66" s="104">
        <f>294*1.16</f>
        <v>341.03999999999996</v>
      </c>
    </row>
    <row r="67" spans="1:4" ht="27.6" x14ac:dyDescent="0.25">
      <c r="A67" s="46">
        <v>6165</v>
      </c>
      <c r="B67" s="47" t="s">
        <v>613</v>
      </c>
      <c r="C67" s="46" t="s">
        <v>6</v>
      </c>
      <c r="D67" s="104">
        <f>291*1.16</f>
        <v>337.56</v>
      </c>
    </row>
    <row r="68" spans="1:4" ht="27.6" x14ac:dyDescent="0.25">
      <c r="A68" s="46">
        <v>6166</v>
      </c>
      <c r="B68" s="47" t="s">
        <v>614</v>
      </c>
      <c r="C68" s="46" t="s">
        <v>6</v>
      </c>
      <c r="D68" s="104">
        <f>347*1.16</f>
        <v>402.52</v>
      </c>
    </row>
    <row r="69" spans="1:4" ht="41.05" x14ac:dyDescent="0.25">
      <c r="A69" s="46">
        <v>6167</v>
      </c>
      <c r="B69" s="47" t="s">
        <v>615</v>
      </c>
      <c r="C69" s="46" t="s">
        <v>6</v>
      </c>
      <c r="D69" s="104">
        <f>((455.07*1.16)+(436.56*1.16))/2</f>
        <v>517.14539999999988</v>
      </c>
    </row>
    <row r="70" spans="1:4" ht="27.6" x14ac:dyDescent="0.25">
      <c r="A70" s="46">
        <v>6168</v>
      </c>
      <c r="B70" s="47" t="s">
        <v>616</v>
      </c>
      <c r="C70" s="46" t="s">
        <v>6</v>
      </c>
      <c r="D70" s="104">
        <f>((534.91*1.16)+(639.01*1.16))/2</f>
        <v>680.8735999999999</v>
      </c>
    </row>
    <row r="71" spans="1:4" x14ac:dyDescent="0.25">
      <c r="A71" s="46">
        <v>6174</v>
      </c>
      <c r="B71" s="47" t="s">
        <v>28</v>
      </c>
      <c r="C71" s="46" t="s">
        <v>6</v>
      </c>
      <c r="D71" s="104">
        <f>270*1.16</f>
        <v>313.2</v>
      </c>
    </row>
    <row r="72" spans="1:4" ht="27.6" x14ac:dyDescent="0.25">
      <c r="A72" s="46">
        <v>6176</v>
      </c>
      <c r="B72" s="47" t="s">
        <v>644</v>
      </c>
      <c r="C72" s="46" t="s">
        <v>6</v>
      </c>
      <c r="D72" s="104">
        <f>15*1.16</f>
        <v>17.399999999999999</v>
      </c>
    </row>
    <row r="73" spans="1:4" ht="27.6" x14ac:dyDescent="0.25">
      <c r="A73" s="46">
        <v>6177</v>
      </c>
      <c r="B73" s="47" t="s">
        <v>617</v>
      </c>
      <c r="C73" s="46" t="s">
        <v>6</v>
      </c>
      <c r="D73" s="104">
        <f>10.3*1.16</f>
        <v>11.948</v>
      </c>
    </row>
    <row r="74" spans="1:4" ht="27.6" x14ac:dyDescent="0.25">
      <c r="A74" s="46">
        <v>6178</v>
      </c>
      <c r="B74" s="47" t="s">
        <v>618</v>
      </c>
      <c r="C74" s="46" t="s">
        <v>6</v>
      </c>
      <c r="D74" s="104">
        <f>10*1.16</f>
        <v>11.6</v>
      </c>
    </row>
    <row r="75" spans="1:4" x14ac:dyDescent="0.25">
      <c r="A75" s="46">
        <v>6180</v>
      </c>
      <c r="B75" s="47" t="s">
        <v>408</v>
      </c>
      <c r="C75" s="46" t="s">
        <v>6</v>
      </c>
      <c r="D75" s="104">
        <f>410*1.16</f>
        <v>475.59999999999997</v>
      </c>
    </row>
    <row r="76" spans="1:4" x14ac:dyDescent="0.25">
      <c r="A76" s="46">
        <v>6188</v>
      </c>
      <c r="B76" s="47" t="s">
        <v>12</v>
      </c>
      <c r="C76" s="46" t="s">
        <v>11</v>
      </c>
      <c r="D76" s="104">
        <v>109.52</v>
      </c>
    </row>
    <row r="77" spans="1:4" x14ac:dyDescent="0.25">
      <c r="A77" s="46">
        <v>6189</v>
      </c>
      <c r="B77" s="47" t="s">
        <v>150</v>
      </c>
      <c r="C77" s="46" t="s">
        <v>6</v>
      </c>
      <c r="D77" s="104">
        <f>20*1.16</f>
        <v>23.2</v>
      </c>
    </row>
    <row r="78" spans="1:4" x14ac:dyDescent="0.25">
      <c r="A78" s="46">
        <v>6191</v>
      </c>
      <c r="B78" s="47" t="s">
        <v>151</v>
      </c>
      <c r="C78" s="46" t="s">
        <v>6</v>
      </c>
      <c r="D78" s="104">
        <v>7.29</v>
      </c>
    </row>
    <row r="79" spans="1:4" x14ac:dyDescent="0.25">
      <c r="A79" s="46">
        <v>6196</v>
      </c>
      <c r="B79" s="47" t="s">
        <v>565</v>
      </c>
      <c r="C79" s="46" t="s">
        <v>5</v>
      </c>
      <c r="D79" s="104">
        <f>249*1.16</f>
        <v>288.83999999999997</v>
      </c>
    </row>
    <row r="80" spans="1:4" x14ac:dyDescent="0.25">
      <c r="A80" s="46">
        <v>6197</v>
      </c>
      <c r="B80" s="47" t="s">
        <v>26</v>
      </c>
      <c r="C80" s="46" t="s">
        <v>4</v>
      </c>
      <c r="D80" s="104">
        <f>(998*1.16+883*1.16)/2</f>
        <v>1090.98</v>
      </c>
    </row>
    <row r="81" spans="1:4" x14ac:dyDescent="0.25">
      <c r="A81" s="46">
        <v>6198</v>
      </c>
      <c r="B81" s="47" t="s">
        <v>25</v>
      </c>
      <c r="C81" s="46" t="s">
        <v>5</v>
      </c>
      <c r="D81" s="104">
        <f>((1390+1144)/2)*1.16</f>
        <v>1469.7199999999998</v>
      </c>
    </row>
    <row r="82" spans="1:4" x14ac:dyDescent="0.25">
      <c r="A82" s="46">
        <v>6221</v>
      </c>
      <c r="B82" s="47" t="s">
        <v>29</v>
      </c>
      <c r="C82" s="46" t="s">
        <v>6</v>
      </c>
      <c r="D82" s="104">
        <f>737*1.16</f>
        <v>854.92</v>
      </c>
    </row>
    <row r="83" spans="1:4" x14ac:dyDescent="0.25">
      <c r="A83" s="46">
        <v>6223</v>
      </c>
      <c r="B83" s="47" t="s">
        <v>31</v>
      </c>
      <c r="C83" s="46" t="s">
        <v>6</v>
      </c>
      <c r="D83" s="122">
        <v>725</v>
      </c>
    </row>
    <row r="84" spans="1:4" x14ac:dyDescent="0.25">
      <c r="A84" s="46">
        <v>6225</v>
      </c>
      <c r="B84" s="47" t="s">
        <v>33</v>
      </c>
      <c r="C84" s="46" t="s">
        <v>6</v>
      </c>
      <c r="D84" s="122">
        <f>549*1.16</f>
        <v>636.83999999999992</v>
      </c>
    </row>
    <row r="85" spans="1:4" x14ac:dyDescent="0.25">
      <c r="A85" s="46">
        <v>6227</v>
      </c>
      <c r="B85" s="47" t="s">
        <v>32</v>
      </c>
      <c r="C85" s="46" t="s">
        <v>6</v>
      </c>
      <c r="D85" s="104">
        <v>81.72</v>
      </c>
    </row>
    <row r="86" spans="1:4" x14ac:dyDescent="0.25">
      <c r="A86" s="46">
        <v>6231</v>
      </c>
      <c r="B86" s="47" t="s">
        <v>179</v>
      </c>
      <c r="C86" s="46" t="s">
        <v>5</v>
      </c>
      <c r="D86" s="104">
        <f>590*1.16</f>
        <v>684.4</v>
      </c>
    </row>
    <row r="87" spans="1:4" x14ac:dyDescent="0.25">
      <c r="A87" s="46">
        <v>6232</v>
      </c>
      <c r="B87" s="47" t="s">
        <v>180</v>
      </c>
      <c r="C87" s="46" t="s">
        <v>5</v>
      </c>
      <c r="D87" s="104">
        <f>650*1.16</f>
        <v>754</v>
      </c>
    </row>
    <row r="88" spans="1:4" x14ac:dyDescent="0.25">
      <c r="A88" s="46">
        <v>6234</v>
      </c>
      <c r="B88" s="47" t="s">
        <v>181</v>
      </c>
      <c r="C88" s="46" t="s">
        <v>91</v>
      </c>
      <c r="D88" s="104">
        <f>99*1.16</f>
        <v>114.83999999999999</v>
      </c>
    </row>
    <row r="89" spans="1:4" x14ac:dyDescent="0.25">
      <c r="A89" s="46">
        <v>6239</v>
      </c>
      <c r="B89" s="47" t="s">
        <v>696</v>
      </c>
      <c r="C89" s="46" t="s">
        <v>5</v>
      </c>
      <c r="D89" s="104">
        <v>116.33</v>
      </c>
    </row>
    <row r="90" spans="1:4" x14ac:dyDescent="0.25">
      <c r="A90" s="46">
        <v>6240</v>
      </c>
      <c r="B90" s="47" t="s">
        <v>152</v>
      </c>
      <c r="C90" s="46" t="s">
        <v>5</v>
      </c>
      <c r="D90" s="104">
        <f>1412*1.16</f>
        <v>1637.9199999999998</v>
      </c>
    </row>
    <row r="91" spans="1:4" x14ac:dyDescent="0.25">
      <c r="A91" s="46">
        <v>6242</v>
      </c>
      <c r="B91" s="47" t="s">
        <v>697</v>
      </c>
      <c r="C91" s="46" t="s">
        <v>5</v>
      </c>
      <c r="D91" s="104">
        <f>1100.14*1.16</f>
        <v>1276.1623999999999</v>
      </c>
    </row>
    <row r="92" spans="1:4" x14ac:dyDescent="0.25">
      <c r="A92" s="46" t="s">
        <v>566</v>
      </c>
      <c r="B92" s="47" t="s">
        <v>567</v>
      </c>
      <c r="C92" s="46" t="s">
        <v>6</v>
      </c>
      <c r="D92" s="104">
        <v>0.6</v>
      </c>
    </row>
    <row r="93" spans="1:4" x14ac:dyDescent="0.25">
      <c r="A93" s="46" t="s">
        <v>568</v>
      </c>
      <c r="B93" s="47" t="s">
        <v>569</v>
      </c>
      <c r="C93" s="46" t="s">
        <v>6</v>
      </c>
      <c r="D93" s="104">
        <v>1.38</v>
      </c>
    </row>
    <row r="94" spans="1:4" x14ac:dyDescent="0.25">
      <c r="A94" s="46" t="s">
        <v>570</v>
      </c>
      <c r="B94" s="47" t="s">
        <v>571</v>
      </c>
      <c r="C94" s="46" t="s">
        <v>6</v>
      </c>
      <c r="D94" s="104">
        <v>1.619</v>
      </c>
    </row>
    <row r="95" spans="1:4" x14ac:dyDescent="0.25">
      <c r="A95" s="46" t="s">
        <v>572</v>
      </c>
      <c r="B95" s="47" t="s">
        <v>573</v>
      </c>
      <c r="C95" s="46" t="s">
        <v>6</v>
      </c>
      <c r="D95" s="104">
        <v>3.35</v>
      </c>
    </row>
    <row r="96" spans="1:4" x14ac:dyDescent="0.25">
      <c r="A96" s="46" t="s">
        <v>574</v>
      </c>
      <c r="B96" s="47" t="s">
        <v>575</v>
      </c>
      <c r="C96" s="46" t="s">
        <v>6</v>
      </c>
      <c r="D96" s="104">
        <v>1.34</v>
      </c>
    </row>
    <row r="97" spans="1:4" x14ac:dyDescent="0.25">
      <c r="A97" s="46" t="s">
        <v>576</v>
      </c>
      <c r="B97" s="47" t="s">
        <v>577</v>
      </c>
      <c r="C97" s="46" t="s">
        <v>6</v>
      </c>
      <c r="D97" s="104">
        <v>0.5</v>
      </c>
    </row>
    <row r="98" spans="1:4" x14ac:dyDescent="0.25">
      <c r="A98" s="46" t="s">
        <v>578</v>
      </c>
      <c r="B98" s="47" t="s">
        <v>579</v>
      </c>
      <c r="C98" s="46" t="s">
        <v>6</v>
      </c>
      <c r="D98" s="104">
        <v>1.39</v>
      </c>
    </row>
    <row r="99" spans="1:4" x14ac:dyDescent="0.25">
      <c r="A99" s="46" t="s">
        <v>580</v>
      </c>
      <c r="B99" s="47" t="s">
        <v>581</v>
      </c>
      <c r="C99" s="46" t="s">
        <v>6</v>
      </c>
      <c r="D99" s="104">
        <v>7.7869999999999999</v>
      </c>
    </row>
    <row r="100" spans="1:4" x14ac:dyDescent="0.25">
      <c r="A100" s="46" t="s">
        <v>582</v>
      </c>
      <c r="B100" s="47" t="s">
        <v>583</v>
      </c>
      <c r="C100" s="46" t="s">
        <v>6</v>
      </c>
      <c r="D100" s="104">
        <v>11.143000000000001</v>
      </c>
    </row>
    <row r="101" spans="1:4" x14ac:dyDescent="0.25">
      <c r="A101" s="46" t="s">
        <v>584</v>
      </c>
      <c r="B101" s="47" t="s">
        <v>585</v>
      </c>
      <c r="C101" s="46" t="s">
        <v>6</v>
      </c>
      <c r="D101" s="104">
        <v>8.1199999999999992</v>
      </c>
    </row>
    <row r="102" spans="1:4" x14ac:dyDescent="0.25">
      <c r="A102" s="46" t="s">
        <v>586</v>
      </c>
      <c r="B102" s="47" t="s">
        <v>587</v>
      </c>
      <c r="C102" s="46" t="s">
        <v>6</v>
      </c>
      <c r="D102" s="104">
        <v>21.54</v>
      </c>
    </row>
    <row r="103" spans="1:4" x14ac:dyDescent="0.25">
      <c r="A103" s="46" t="s">
        <v>588</v>
      </c>
      <c r="B103" s="47" t="s">
        <v>589</v>
      </c>
      <c r="C103" s="46" t="s">
        <v>6</v>
      </c>
      <c r="D103" s="104">
        <v>155.74</v>
      </c>
    </row>
    <row r="104" spans="1:4" x14ac:dyDescent="0.25">
      <c r="A104" s="46">
        <v>6277</v>
      </c>
      <c r="B104" s="47" t="s">
        <v>13</v>
      </c>
      <c r="C104" s="46" t="s">
        <v>5</v>
      </c>
      <c r="D104" s="104">
        <v>202.71</v>
      </c>
    </row>
    <row r="105" spans="1:4" ht="27.6" x14ac:dyDescent="0.25">
      <c r="A105" s="46">
        <v>6278</v>
      </c>
      <c r="B105" s="47" t="s">
        <v>409</v>
      </c>
      <c r="C105" s="46" t="s">
        <v>5</v>
      </c>
      <c r="D105" s="104">
        <f>442.26*1.16</f>
        <v>513.02159999999992</v>
      </c>
    </row>
    <row r="106" spans="1:4" ht="27.6" x14ac:dyDescent="0.25">
      <c r="A106" s="46">
        <v>6279</v>
      </c>
      <c r="B106" s="47" t="s">
        <v>410</v>
      </c>
      <c r="C106" s="46" t="s">
        <v>5</v>
      </c>
      <c r="D106" s="104">
        <f>318*1.16</f>
        <v>368.88</v>
      </c>
    </row>
    <row r="107" spans="1:4" ht="27.6" x14ac:dyDescent="0.25">
      <c r="A107" s="46">
        <v>6280</v>
      </c>
      <c r="B107" s="47" t="s">
        <v>411</v>
      </c>
      <c r="C107" s="46" t="s">
        <v>5</v>
      </c>
      <c r="D107" s="104">
        <f>318*1.16</f>
        <v>368.88</v>
      </c>
    </row>
    <row r="108" spans="1:4" x14ac:dyDescent="0.25">
      <c r="A108" s="46">
        <v>6315</v>
      </c>
      <c r="B108" s="47" t="s">
        <v>153</v>
      </c>
      <c r="C108" s="46" t="s">
        <v>5</v>
      </c>
      <c r="D108" s="104">
        <v>325.33999999999997</v>
      </c>
    </row>
    <row r="109" spans="1:4" x14ac:dyDescent="0.25">
      <c r="A109" s="46">
        <v>6335</v>
      </c>
      <c r="B109" s="47" t="s">
        <v>30</v>
      </c>
      <c r="C109" s="46" t="s">
        <v>6</v>
      </c>
      <c r="D109" s="104">
        <f>186.66*1.16</f>
        <v>216.52559999999997</v>
      </c>
    </row>
    <row r="110" spans="1:4" x14ac:dyDescent="0.25">
      <c r="A110" s="46">
        <v>6340</v>
      </c>
      <c r="B110" s="47" t="s">
        <v>19</v>
      </c>
      <c r="C110" s="46" t="s">
        <v>5</v>
      </c>
      <c r="D110" s="104">
        <f>200*1.16</f>
        <v>231.99999999999997</v>
      </c>
    </row>
    <row r="111" spans="1:4" ht="27.6" x14ac:dyDescent="0.25">
      <c r="A111" s="46">
        <v>6341</v>
      </c>
      <c r="B111" s="47" t="s">
        <v>21</v>
      </c>
      <c r="C111" s="46" t="s">
        <v>5</v>
      </c>
      <c r="D111" s="104">
        <f>((350*1.16)+(155*1.16))/2</f>
        <v>292.89999999999998</v>
      </c>
    </row>
    <row r="112" spans="1:4" ht="27.6" x14ac:dyDescent="0.25">
      <c r="A112" s="46">
        <v>6342</v>
      </c>
      <c r="B112" s="47" t="s">
        <v>20</v>
      </c>
      <c r="C112" s="46" t="s">
        <v>5</v>
      </c>
      <c r="D112" s="104">
        <f>213.33*1.16</f>
        <v>247.46279999999999</v>
      </c>
    </row>
    <row r="113" spans="1:4" x14ac:dyDescent="0.25">
      <c r="A113" s="46">
        <v>6343</v>
      </c>
      <c r="B113" s="47" t="s">
        <v>154</v>
      </c>
      <c r="C113" s="46" t="s">
        <v>5</v>
      </c>
      <c r="D113" s="104">
        <f>381*1.16</f>
        <v>441.96</v>
      </c>
    </row>
    <row r="114" spans="1:4" ht="27.6" x14ac:dyDescent="0.25">
      <c r="A114" s="46">
        <v>6346</v>
      </c>
      <c r="B114" s="47" t="s">
        <v>22</v>
      </c>
      <c r="C114" s="46" t="s">
        <v>5</v>
      </c>
      <c r="D114" s="104">
        <f>145*1.16</f>
        <v>168.2</v>
      </c>
    </row>
    <row r="115" spans="1:4" ht="27.6" x14ac:dyDescent="0.25">
      <c r="A115" s="46">
        <v>6347</v>
      </c>
      <c r="B115" s="47" t="s">
        <v>24</v>
      </c>
      <c r="C115" s="46" t="s">
        <v>5</v>
      </c>
      <c r="D115" s="104">
        <f>145*1.16</f>
        <v>168.2</v>
      </c>
    </row>
    <row r="116" spans="1:4" ht="27.6" x14ac:dyDescent="0.25">
      <c r="A116" s="46">
        <v>6348</v>
      </c>
      <c r="B116" s="47" t="s">
        <v>23</v>
      </c>
      <c r="C116" s="46" t="s">
        <v>5</v>
      </c>
      <c r="D116" s="104">
        <f>145*1.16</f>
        <v>168.2</v>
      </c>
    </row>
  </sheetData>
  <phoneticPr fontId="16" type="noConversion"/>
  <pageMargins left="0.7" right="0.7" top="0.75" bottom="0.75" header="0.3" footer="0.3"/>
  <pageSetup orientation="portrait" r:id="rId1"/>
  <headerFooter>
    <oddHeader>&amp;L&amp;G&amp;C&amp;22 21-Artículos para Laboratorio&amp;RVersión 2025-01</oddHeader>
    <oddFooter>&amp;RNota: Los precios tienen un valor promedio, éste depende del valor del lote de procedencia, por lo que sólo considerelo como una referencia. Las existencias pueden variar de acuerdo a la demanda.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46CBEA"/>
  </sheetPr>
  <dimension ref="A1:E71"/>
  <sheetViews>
    <sheetView showGridLines="0" tabSelected="1" showRuler="0" view="pageLayout" topLeftCell="A61" zoomScale="130" zoomScaleNormal="172" zoomScalePageLayoutView="130" workbookViewId="0">
      <selection activeCell="D12" sqref="D12"/>
    </sheetView>
  </sheetViews>
  <sheetFormatPr baseColWidth="10" defaultColWidth="11.5" defaultRowHeight="13.5" x14ac:dyDescent="0.25"/>
  <cols>
    <col min="1" max="1" width="10" style="4" customWidth="1"/>
    <col min="2" max="2" width="53.25" style="4" customWidth="1"/>
    <col min="3" max="3" width="6.75" style="4" customWidth="1"/>
    <col min="4" max="4" width="12.75" style="4" customWidth="1"/>
    <col min="5" max="5" width="10.75" style="5" bestFit="1" customWidth="1"/>
    <col min="6" max="16384" width="11.5" style="4"/>
  </cols>
  <sheetData>
    <row r="1" spans="1:5" x14ac:dyDescent="0.25">
      <c r="A1" s="52" t="s">
        <v>2</v>
      </c>
      <c r="B1" s="53" t="s">
        <v>3</v>
      </c>
      <c r="C1" s="53" t="s">
        <v>1</v>
      </c>
      <c r="D1" s="54" t="s">
        <v>674</v>
      </c>
      <c r="E1" s="4"/>
    </row>
    <row r="2" spans="1:5" ht="11.65" customHeight="1" x14ac:dyDescent="0.25">
      <c r="A2" s="123" t="s">
        <v>96</v>
      </c>
      <c r="B2" s="126" t="s">
        <v>366</v>
      </c>
      <c r="C2" s="123" t="s">
        <v>6</v>
      </c>
      <c r="D2" s="125">
        <f>1183*1.16</f>
        <v>1372.28</v>
      </c>
      <c r="E2" s="4"/>
    </row>
    <row r="3" spans="1:5" ht="15.5" x14ac:dyDescent="0.25">
      <c r="A3" s="123" t="s">
        <v>97</v>
      </c>
      <c r="B3" s="126" t="s">
        <v>406</v>
      </c>
      <c r="C3" s="123" t="s">
        <v>6</v>
      </c>
      <c r="D3" s="125">
        <f>550*1.16</f>
        <v>638</v>
      </c>
      <c r="E3" s="4"/>
    </row>
    <row r="4" spans="1:5" ht="15.5" x14ac:dyDescent="0.25">
      <c r="A4" s="123" t="s">
        <v>98</v>
      </c>
      <c r="B4" s="126" t="s">
        <v>367</v>
      </c>
      <c r="C4" s="123" t="s">
        <v>6</v>
      </c>
      <c r="D4" s="125">
        <v>1013.84</v>
      </c>
      <c r="E4" s="4"/>
    </row>
    <row r="5" spans="1:5" ht="15.5" x14ac:dyDescent="0.25">
      <c r="A5" s="123" t="s">
        <v>99</v>
      </c>
      <c r="B5" s="126" t="s">
        <v>374</v>
      </c>
      <c r="C5" s="123" t="s">
        <v>6</v>
      </c>
      <c r="D5" s="125">
        <f>495*1.16</f>
        <v>574.19999999999993</v>
      </c>
      <c r="E5" s="4"/>
    </row>
    <row r="6" spans="1:5" ht="15.5" x14ac:dyDescent="0.25">
      <c r="A6" s="123" t="s">
        <v>100</v>
      </c>
      <c r="B6" s="126" t="s">
        <v>328</v>
      </c>
      <c r="C6" s="123" t="s">
        <v>6</v>
      </c>
      <c r="D6" s="125">
        <v>2645.96</v>
      </c>
      <c r="E6" s="4"/>
    </row>
    <row r="7" spans="1:5" ht="15.5" x14ac:dyDescent="0.25">
      <c r="A7" s="123" t="s">
        <v>101</v>
      </c>
      <c r="B7" s="126" t="s">
        <v>394</v>
      </c>
      <c r="C7" s="123" t="s">
        <v>6</v>
      </c>
      <c r="D7" s="125">
        <f>1250*1.16</f>
        <v>1450</v>
      </c>
      <c r="E7" s="4"/>
    </row>
    <row r="8" spans="1:5" ht="15.5" x14ac:dyDescent="0.25">
      <c r="A8" s="123" t="s">
        <v>102</v>
      </c>
      <c r="B8" s="126" t="s">
        <v>375</v>
      </c>
      <c r="C8" s="123" t="s">
        <v>6</v>
      </c>
      <c r="D8" s="125">
        <f>990*1.16</f>
        <v>1148.3999999999999</v>
      </c>
      <c r="E8" s="4"/>
    </row>
    <row r="9" spans="1:5" ht="15.5" hidden="1" x14ac:dyDescent="0.25">
      <c r="A9" s="123" t="s">
        <v>341</v>
      </c>
      <c r="B9" s="126" t="s">
        <v>376</v>
      </c>
      <c r="C9" s="123" t="s">
        <v>6</v>
      </c>
      <c r="D9" s="125">
        <f>827*1.16</f>
        <v>959.31999999999994</v>
      </c>
      <c r="E9" s="4"/>
    </row>
    <row r="10" spans="1:5" ht="15.5" x14ac:dyDescent="0.25">
      <c r="A10" s="123" t="s">
        <v>342</v>
      </c>
      <c r="B10" s="126" t="s">
        <v>377</v>
      </c>
      <c r="C10" s="123" t="s">
        <v>6</v>
      </c>
      <c r="D10" s="125">
        <f>445*1.16</f>
        <v>516.19999999999993</v>
      </c>
      <c r="E10" s="4"/>
    </row>
    <row r="11" spans="1:5" ht="15.5" x14ac:dyDescent="0.25">
      <c r="A11" s="123" t="s">
        <v>93</v>
      </c>
      <c r="B11" s="126" t="s">
        <v>619</v>
      </c>
      <c r="C11" s="123" t="s">
        <v>6</v>
      </c>
      <c r="D11" s="125">
        <f>658*1.16</f>
        <v>763.28</v>
      </c>
      <c r="E11" s="4"/>
    </row>
    <row r="12" spans="1:5" ht="15.5" x14ac:dyDescent="0.25">
      <c r="A12" s="123" t="s">
        <v>103</v>
      </c>
      <c r="B12" s="126" t="s">
        <v>369</v>
      </c>
      <c r="C12" s="123" t="s">
        <v>6</v>
      </c>
      <c r="D12" s="125">
        <f>790*1.16</f>
        <v>916.4</v>
      </c>
      <c r="E12" s="4"/>
    </row>
    <row r="13" spans="1:5" ht="30.95" x14ac:dyDescent="0.25">
      <c r="A13" s="123" t="s">
        <v>106</v>
      </c>
      <c r="B13" s="126" t="s">
        <v>368</v>
      </c>
      <c r="C13" s="123" t="s">
        <v>6</v>
      </c>
      <c r="D13" s="125">
        <v>1751.6</v>
      </c>
      <c r="E13" s="4"/>
    </row>
    <row r="14" spans="1:5" ht="15.5" x14ac:dyDescent="0.25">
      <c r="A14" s="123" t="s">
        <v>343</v>
      </c>
      <c r="B14" s="126" t="s">
        <v>370</v>
      </c>
      <c r="C14" s="123" t="s">
        <v>6</v>
      </c>
      <c r="D14" s="125">
        <f>1361*1.16</f>
        <v>1578.76</v>
      </c>
      <c r="E14" s="4"/>
    </row>
    <row r="15" spans="1:5" ht="30.95" x14ac:dyDescent="0.25">
      <c r="A15" s="123" t="s">
        <v>104</v>
      </c>
      <c r="B15" s="126" t="s">
        <v>371</v>
      </c>
      <c r="C15" s="123" t="s">
        <v>6</v>
      </c>
      <c r="D15" s="125">
        <v>817.8</v>
      </c>
      <c r="E15" s="4"/>
    </row>
    <row r="16" spans="1:5" ht="15.5" x14ac:dyDescent="0.25">
      <c r="A16" s="123" t="s">
        <v>344</v>
      </c>
      <c r="B16" s="126" t="s">
        <v>373</v>
      </c>
      <c r="C16" s="123" t="s">
        <v>6</v>
      </c>
      <c r="D16" s="125">
        <f>330*1.16</f>
        <v>382.79999999999995</v>
      </c>
      <c r="E16" s="4"/>
    </row>
    <row r="17" spans="1:5" ht="15.5" x14ac:dyDescent="0.25">
      <c r="A17" s="123" t="s">
        <v>345</v>
      </c>
      <c r="B17" s="126" t="s">
        <v>372</v>
      </c>
      <c r="C17" s="123" t="s">
        <v>6</v>
      </c>
      <c r="D17" s="125">
        <f>((425+410)/2)*1.16</f>
        <v>484.29999999999995</v>
      </c>
      <c r="E17" s="4"/>
    </row>
    <row r="18" spans="1:5" ht="30.95" x14ac:dyDescent="0.25">
      <c r="A18" s="123" t="s">
        <v>105</v>
      </c>
      <c r="B18" s="126" t="s">
        <v>329</v>
      </c>
      <c r="C18" s="123" t="s">
        <v>6</v>
      </c>
      <c r="D18" s="125">
        <v>1903.56</v>
      </c>
      <c r="E18" s="4"/>
    </row>
    <row r="19" spans="1:5" ht="15.5" x14ac:dyDescent="0.25">
      <c r="A19" s="123" t="s">
        <v>529</v>
      </c>
      <c r="B19" s="126" t="s">
        <v>675</v>
      </c>
      <c r="C19" s="123" t="s">
        <v>6</v>
      </c>
      <c r="D19" s="125">
        <f>330*1.16</f>
        <v>382.79999999999995</v>
      </c>
      <c r="E19" s="4"/>
    </row>
    <row r="20" spans="1:5" ht="15.5" x14ac:dyDescent="0.25">
      <c r="A20" s="123" t="s">
        <v>346</v>
      </c>
      <c r="B20" s="126" t="s">
        <v>620</v>
      </c>
      <c r="C20" s="123" t="s">
        <v>6</v>
      </c>
      <c r="D20" s="125">
        <f>858*1.16</f>
        <v>995.28</v>
      </c>
      <c r="E20" s="4"/>
    </row>
    <row r="21" spans="1:5" ht="15.5" x14ac:dyDescent="0.25">
      <c r="A21" s="123" t="s">
        <v>347</v>
      </c>
      <c r="B21" s="126" t="s">
        <v>378</v>
      </c>
      <c r="C21" s="123" t="s">
        <v>6</v>
      </c>
      <c r="D21" s="125">
        <f>1572*1.16</f>
        <v>1823.52</v>
      </c>
      <c r="E21" s="4"/>
    </row>
    <row r="22" spans="1:5" ht="15.5" x14ac:dyDescent="0.25">
      <c r="A22" s="123" t="s">
        <v>348</v>
      </c>
      <c r="B22" s="126" t="s">
        <v>404</v>
      </c>
      <c r="C22" s="123" t="s">
        <v>6</v>
      </c>
      <c r="D22" s="125">
        <f>((550+647)/2)*1.16</f>
        <v>694.26</v>
      </c>
      <c r="E22" s="4"/>
    </row>
    <row r="23" spans="1:5" ht="15.5" x14ac:dyDescent="0.25">
      <c r="A23" s="123" t="s">
        <v>349</v>
      </c>
      <c r="B23" s="126" t="s">
        <v>405</v>
      </c>
      <c r="C23" s="123" t="s">
        <v>6</v>
      </c>
      <c r="D23" s="125">
        <f>405*1.16</f>
        <v>469.79999999999995</v>
      </c>
      <c r="E23" s="4"/>
    </row>
    <row r="24" spans="1:5" ht="15.5" x14ac:dyDescent="0.25">
      <c r="A24" s="123" t="s">
        <v>94</v>
      </c>
      <c r="B24" s="126" t="s">
        <v>330</v>
      </c>
      <c r="C24" s="123" t="s">
        <v>6</v>
      </c>
      <c r="D24" s="125">
        <v>2431.36</v>
      </c>
      <c r="E24" s="4"/>
    </row>
    <row r="25" spans="1:5" ht="15.5" x14ac:dyDescent="0.25">
      <c r="A25" s="123" t="s">
        <v>95</v>
      </c>
      <c r="B25" s="126" t="s">
        <v>379</v>
      </c>
      <c r="C25" s="123" t="s">
        <v>6</v>
      </c>
      <c r="D25" s="125">
        <v>2169.1999999999998</v>
      </c>
      <c r="E25" s="4"/>
    </row>
    <row r="26" spans="1:5" ht="15.5" x14ac:dyDescent="0.25">
      <c r="A26" s="123" t="s">
        <v>107</v>
      </c>
      <c r="B26" s="126" t="s">
        <v>331</v>
      </c>
      <c r="C26" s="123" t="s">
        <v>6</v>
      </c>
      <c r="D26" s="125">
        <v>1756.11</v>
      </c>
      <c r="E26" s="4"/>
    </row>
    <row r="27" spans="1:5" ht="15.5" x14ac:dyDescent="0.25">
      <c r="A27" s="123" t="s">
        <v>108</v>
      </c>
      <c r="B27" s="126" t="s">
        <v>380</v>
      </c>
      <c r="C27" s="123" t="s">
        <v>6</v>
      </c>
      <c r="D27" s="125">
        <v>574.20000000000005</v>
      </c>
      <c r="E27" s="4"/>
    </row>
    <row r="28" spans="1:5" ht="30.95" x14ac:dyDescent="0.25">
      <c r="A28" s="123" t="s">
        <v>350</v>
      </c>
      <c r="B28" s="126" t="s">
        <v>381</v>
      </c>
      <c r="C28" s="123" t="s">
        <v>6</v>
      </c>
      <c r="D28" s="125">
        <f>644*1.16</f>
        <v>747.04</v>
      </c>
      <c r="E28" s="4"/>
    </row>
    <row r="29" spans="1:5" ht="30.95" x14ac:dyDescent="0.25">
      <c r="A29" s="123" t="s">
        <v>110</v>
      </c>
      <c r="B29" s="126" t="s">
        <v>645</v>
      </c>
      <c r="C29" s="123" t="s">
        <v>6</v>
      </c>
      <c r="D29" s="125">
        <f>1886.11</f>
        <v>1886.11</v>
      </c>
      <c r="E29" s="4"/>
    </row>
    <row r="30" spans="1:5" ht="30.95" x14ac:dyDescent="0.25">
      <c r="A30" s="123" t="s">
        <v>351</v>
      </c>
      <c r="B30" s="126" t="s">
        <v>382</v>
      </c>
      <c r="C30" s="123" t="s">
        <v>6</v>
      </c>
      <c r="D30" s="125">
        <f>455*1.16</f>
        <v>527.79999999999995</v>
      </c>
      <c r="E30" s="4"/>
    </row>
    <row r="31" spans="1:5" ht="15.5" x14ac:dyDescent="0.25">
      <c r="A31" s="123" t="s">
        <v>530</v>
      </c>
      <c r="B31" s="126" t="s">
        <v>531</v>
      </c>
      <c r="C31" s="123" t="s">
        <v>6</v>
      </c>
      <c r="D31" s="125">
        <f>2354.01*1.16</f>
        <v>2730.6516000000001</v>
      </c>
      <c r="E31" s="4"/>
    </row>
    <row r="32" spans="1:5" ht="15.5" x14ac:dyDescent="0.25">
      <c r="A32" s="123" t="s">
        <v>646</v>
      </c>
      <c r="B32" s="126" t="s">
        <v>647</v>
      </c>
      <c r="C32" s="123" t="s">
        <v>6</v>
      </c>
      <c r="D32" s="125">
        <f>3856*1.16</f>
        <v>4472.96</v>
      </c>
      <c r="E32" s="4"/>
    </row>
    <row r="33" spans="1:5" ht="15.5" x14ac:dyDescent="0.25">
      <c r="A33" s="123" t="s">
        <v>112</v>
      </c>
      <c r="B33" s="126" t="s">
        <v>383</v>
      </c>
      <c r="C33" s="123" t="s">
        <v>6</v>
      </c>
      <c r="D33" s="125">
        <f>1922.74*1.16</f>
        <v>2230.3784000000001</v>
      </c>
      <c r="E33" s="4"/>
    </row>
    <row r="34" spans="1:5" ht="15.5" x14ac:dyDescent="0.25">
      <c r="A34" s="123" t="s">
        <v>352</v>
      </c>
      <c r="B34" s="126" t="s">
        <v>664</v>
      </c>
      <c r="C34" s="123" t="s">
        <v>6</v>
      </c>
      <c r="D34" s="125">
        <f>2605*1.16</f>
        <v>3021.7999999999997</v>
      </c>
      <c r="E34" s="4"/>
    </row>
    <row r="35" spans="1:5" ht="15.5" x14ac:dyDescent="0.25">
      <c r="A35" s="123" t="s">
        <v>353</v>
      </c>
      <c r="B35" s="126" t="s">
        <v>395</v>
      </c>
      <c r="C35" s="123" t="s">
        <v>6</v>
      </c>
      <c r="D35" s="125">
        <f>1580*1.16</f>
        <v>1832.8</v>
      </c>
      <c r="E35" s="4"/>
    </row>
    <row r="36" spans="1:5" ht="15.5" x14ac:dyDescent="0.25">
      <c r="A36" s="123" t="s">
        <v>111</v>
      </c>
      <c r="B36" s="126" t="s">
        <v>332</v>
      </c>
      <c r="C36" s="123" t="s">
        <v>6</v>
      </c>
      <c r="D36" s="125">
        <f>2368*1.16</f>
        <v>2746.8799999999997</v>
      </c>
      <c r="E36" s="4"/>
    </row>
    <row r="37" spans="1:5" ht="15.5" x14ac:dyDescent="0.25">
      <c r="A37" s="123" t="s">
        <v>113</v>
      </c>
      <c r="B37" s="126" t="s">
        <v>621</v>
      </c>
      <c r="C37" s="123" t="s">
        <v>6</v>
      </c>
      <c r="D37" s="125">
        <f>2280*1.16</f>
        <v>2644.7999999999997</v>
      </c>
      <c r="E37" s="4"/>
    </row>
    <row r="38" spans="1:5" ht="15.5" x14ac:dyDescent="0.25">
      <c r="A38" s="123" t="s">
        <v>114</v>
      </c>
      <c r="B38" s="126" t="s">
        <v>178</v>
      </c>
      <c r="C38" s="123" t="s">
        <v>6</v>
      </c>
      <c r="D38" s="125">
        <f>2360*1.16</f>
        <v>2737.6</v>
      </c>
      <c r="E38" s="4"/>
    </row>
    <row r="39" spans="1:5" ht="15.5" x14ac:dyDescent="0.25">
      <c r="A39" s="123" t="s">
        <v>115</v>
      </c>
      <c r="B39" s="126" t="s">
        <v>333</v>
      </c>
      <c r="C39" s="123" t="s">
        <v>6</v>
      </c>
      <c r="D39" s="125">
        <f>1352*1.16</f>
        <v>1568.32</v>
      </c>
      <c r="E39" s="4"/>
    </row>
    <row r="40" spans="1:5" ht="15.5" x14ac:dyDescent="0.25">
      <c r="A40" s="123" t="s">
        <v>354</v>
      </c>
      <c r="B40" s="126" t="s">
        <v>396</v>
      </c>
      <c r="C40" s="123" t="s">
        <v>6</v>
      </c>
      <c r="D40" s="125">
        <f>420*1.16</f>
        <v>487.2</v>
      </c>
      <c r="E40" s="4"/>
    </row>
    <row r="41" spans="1:5" ht="15.5" x14ac:dyDescent="0.25">
      <c r="A41" s="123" t="s">
        <v>355</v>
      </c>
      <c r="B41" s="126" t="s">
        <v>397</v>
      </c>
      <c r="C41" s="123" t="s">
        <v>6</v>
      </c>
      <c r="D41" s="125">
        <f>560*1.16</f>
        <v>649.59999999999991</v>
      </c>
      <c r="E41" s="4"/>
    </row>
    <row r="42" spans="1:5" ht="15.5" x14ac:dyDescent="0.25">
      <c r="A42" s="123" t="s">
        <v>109</v>
      </c>
      <c r="B42" s="126" t="s">
        <v>398</v>
      </c>
      <c r="C42" s="123" t="s">
        <v>6</v>
      </c>
      <c r="D42" s="125">
        <f>481*1.16</f>
        <v>557.95999999999992</v>
      </c>
      <c r="E42" s="4"/>
    </row>
    <row r="43" spans="1:5" ht="15.5" x14ac:dyDescent="0.25">
      <c r="A43" s="123" t="s">
        <v>116</v>
      </c>
      <c r="B43" s="126" t="s">
        <v>384</v>
      </c>
      <c r="C43" s="123" t="s">
        <v>6</v>
      </c>
      <c r="D43" s="125">
        <f>457*1.16</f>
        <v>530.12</v>
      </c>
      <c r="E43" s="4"/>
    </row>
    <row r="44" spans="1:5" ht="15.5" x14ac:dyDescent="0.25">
      <c r="A44" s="123" t="s">
        <v>356</v>
      </c>
      <c r="B44" s="126" t="s">
        <v>385</v>
      </c>
      <c r="C44" s="123" t="s">
        <v>6</v>
      </c>
      <c r="D44" s="125">
        <f>550*1.16</f>
        <v>638</v>
      </c>
      <c r="E44" s="4"/>
    </row>
    <row r="45" spans="1:5" ht="15.5" x14ac:dyDescent="0.25">
      <c r="A45" s="123" t="s">
        <v>357</v>
      </c>
      <c r="B45" s="126" t="s">
        <v>386</v>
      </c>
      <c r="C45" s="123" t="s">
        <v>6</v>
      </c>
      <c r="D45" s="125">
        <f>468*1.16</f>
        <v>542.88</v>
      </c>
      <c r="E45" s="4"/>
    </row>
    <row r="46" spans="1:5" ht="15.5" x14ac:dyDescent="0.25">
      <c r="A46" s="123" t="s">
        <v>117</v>
      </c>
      <c r="B46" s="126" t="s">
        <v>334</v>
      </c>
      <c r="C46" s="123" t="s">
        <v>6</v>
      </c>
      <c r="D46" s="125">
        <v>1953.44</v>
      </c>
      <c r="E46" s="4"/>
    </row>
    <row r="47" spans="1:5" ht="15.5" x14ac:dyDescent="0.25">
      <c r="A47" s="123" t="s">
        <v>119</v>
      </c>
      <c r="B47" s="126" t="s">
        <v>335</v>
      </c>
      <c r="C47" s="123" t="s">
        <v>6</v>
      </c>
      <c r="D47" s="125">
        <f>((1130*5)*1.16)/3</f>
        <v>2184.6666666666665</v>
      </c>
      <c r="E47" s="4"/>
    </row>
    <row r="48" spans="1:5" ht="15.5" x14ac:dyDescent="0.25">
      <c r="A48" s="123" t="s">
        <v>120</v>
      </c>
      <c r="B48" s="126" t="s">
        <v>336</v>
      </c>
      <c r="C48" s="123" t="s">
        <v>6</v>
      </c>
      <c r="D48" s="125">
        <f>1016.66*1.16</f>
        <v>1179.3255999999999</v>
      </c>
      <c r="E48" s="4"/>
    </row>
    <row r="49" spans="1:5" ht="15.5" x14ac:dyDescent="0.25">
      <c r="A49" s="123" t="s">
        <v>648</v>
      </c>
      <c r="B49" s="126" t="s">
        <v>387</v>
      </c>
      <c r="C49" s="123" t="s">
        <v>6</v>
      </c>
      <c r="D49" s="125">
        <f>232*1.16</f>
        <v>269.12</v>
      </c>
      <c r="E49" s="4"/>
    </row>
    <row r="50" spans="1:5" ht="15.5" x14ac:dyDescent="0.25">
      <c r="A50" s="123" t="s">
        <v>649</v>
      </c>
      <c r="B50" s="126" t="s">
        <v>650</v>
      </c>
      <c r="C50" s="123" t="s">
        <v>6</v>
      </c>
      <c r="D50" s="125">
        <v>269</v>
      </c>
      <c r="E50" s="4"/>
    </row>
    <row r="51" spans="1:5" ht="15.5" x14ac:dyDescent="0.25">
      <c r="A51" s="123" t="s">
        <v>358</v>
      </c>
      <c r="B51" s="126" t="s">
        <v>676</v>
      </c>
      <c r="C51" s="123" t="s">
        <v>6</v>
      </c>
      <c r="D51" s="125">
        <v>224.82</v>
      </c>
      <c r="E51" s="4"/>
    </row>
    <row r="52" spans="1:5" ht="15.5" x14ac:dyDescent="0.25">
      <c r="A52" s="123" t="s">
        <v>118</v>
      </c>
      <c r="B52" s="126" t="s">
        <v>388</v>
      </c>
      <c r="C52" s="123" t="s">
        <v>6</v>
      </c>
      <c r="D52" s="125">
        <f>255*1.16</f>
        <v>295.79999999999995</v>
      </c>
      <c r="E52" s="4"/>
    </row>
    <row r="53" spans="1:5" ht="15.5" x14ac:dyDescent="0.25">
      <c r="A53" s="123" t="s">
        <v>121</v>
      </c>
      <c r="B53" s="126" t="s">
        <v>337</v>
      </c>
      <c r="C53" s="123" t="s">
        <v>6</v>
      </c>
      <c r="D53" s="125">
        <f>655.67*1.16</f>
        <v>760.57719999999995</v>
      </c>
      <c r="E53" s="4"/>
    </row>
    <row r="54" spans="1:5" ht="15.5" x14ac:dyDescent="0.25">
      <c r="A54" s="123" t="s">
        <v>122</v>
      </c>
      <c r="B54" s="126" t="s">
        <v>698</v>
      </c>
      <c r="C54" s="123" t="s">
        <v>6</v>
      </c>
      <c r="D54" s="125">
        <f>421*1.16</f>
        <v>488.35999999999996</v>
      </c>
      <c r="E54" s="4"/>
    </row>
    <row r="55" spans="1:5" ht="15.5" x14ac:dyDescent="0.25">
      <c r="A55" s="123" t="s">
        <v>699</v>
      </c>
      <c r="B55" s="126" t="s">
        <v>700</v>
      </c>
      <c r="C55" s="123" t="s">
        <v>6</v>
      </c>
      <c r="D55" s="125">
        <f>325*1.16</f>
        <v>377</v>
      </c>
      <c r="E55" s="4"/>
    </row>
    <row r="56" spans="1:5" ht="15.5" x14ac:dyDescent="0.25">
      <c r="A56" s="123" t="s">
        <v>123</v>
      </c>
      <c r="B56" s="126" t="s">
        <v>338</v>
      </c>
      <c r="C56" s="123" t="s">
        <v>6</v>
      </c>
      <c r="D56" s="125">
        <f t="shared" ref="D56" si="0">421*1.16</f>
        <v>488.35999999999996</v>
      </c>
      <c r="E56" s="4"/>
    </row>
    <row r="57" spans="1:5" ht="15.5" x14ac:dyDescent="0.25">
      <c r="A57" s="123" t="s">
        <v>359</v>
      </c>
      <c r="B57" s="126" t="s">
        <v>403</v>
      </c>
      <c r="C57" s="123" t="s">
        <v>6</v>
      </c>
      <c r="D57" s="125">
        <f>39*1.16</f>
        <v>45.239999999999995</v>
      </c>
      <c r="E57" s="4"/>
    </row>
    <row r="58" spans="1:5" ht="15.5" x14ac:dyDescent="0.25">
      <c r="A58" s="123" t="s">
        <v>360</v>
      </c>
      <c r="B58" s="126" t="s">
        <v>389</v>
      </c>
      <c r="C58" s="123" t="s">
        <v>6</v>
      </c>
      <c r="D58" s="125">
        <f>311*1.16</f>
        <v>360.76</v>
      </c>
      <c r="E58" s="4"/>
    </row>
    <row r="59" spans="1:5" ht="15.5" x14ac:dyDescent="0.25">
      <c r="A59" s="123" t="s">
        <v>361</v>
      </c>
      <c r="B59" s="126" t="s">
        <v>400</v>
      </c>
      <c r="C59" s="123" t="s">
        <v>6</v>
      </c>
      <c r="D59" s="125">
        <f>74*1.16</f>
        <v>85.839999999999989</v>
      </c>
      <c r="E59" s="4"/>
    </row>
    <row r="60" spans="1:5" ht="15.5" x14ac:dyDescent="0.25">
      <c r="A60" s="123" t="s">
        <v>362</v>
      </c>
      <c r="B60" s="126" t="s">
        <v>399</v>
      </c>
      <c r="C60" s="123" t="s">
        <v>6</v>
      </c>
      <c r="D60" s="125">
        <f>224*1.16</f>
        <v>259.83999999999997</v>
      </c>
      <c r="E60" s="4"/>
    </row>
    <row r="61" spans="1:5" ht="15.5" x14ac:dyDescent="0.25">
      <c r="A61" s="123" t="s">
        <v>124</v>
      </c>
      <c r="B61" s="126" t="s">
        <v>407</v>
      </c>
      <c r="C61" s="123" t="s">
        <v>6</v>
      </c>
      <c r="D61" s="125">
        <v>701.8</v>
      </c>
      <c r="E61" s="4"/>
    </row>
    <row r="62" spans="1:5" ht="15.5" x14ac:dyDescent="0.25">
      <c r="A62" s="123" t="s">
        <v>125</v>
      </c>
      <c r="B62" s="126" t="s">
        <v>390</v>
      </c>
      <c r="C62" s="123" t="s">
        <v>6</v>
      </c>
      <c r="D62" s="125">
        <f>560*1.16</f>
        <v>649.59999999999991</v>
      </c>
      <c r="E62" s="4"/>
    </row>
    <row r="63" spans="1:5" ht="15.5" x14ac:dyDescent="0.25">
      <c r="A63" s="123" t="s">
        <v>126</v>
      </c>
      <c r="B63" s="126" t="s">
        <v>339</v>
      </c>
      <c r="C63" s="123" t="s">
        <v>6</v>
      </c>
      <c r="D63" s="125">
        <f>390*1.16</f>
        <v>452.4</v>
      </c>
      <c r="E63" s="4"/>
    </row>
    <row r="64" spans="1:5" ht="15.5" x14ac:dyDescent="0.25">
      <c r="A64" s="123" t="s">
        <v>363</v>
      </c>
      <c r="B64" s="126" t="s">
        <v>401</v>
      </c>
      <c r="C64" s="123" t="s">
        <v>6</v>
      </c>
      <c r="D64" s="125">
        <f>80*1.16</f>
        <v>92.8</v>
      </c>
      <c r="E64" s="4"/>
    </row>
    <row r="65" spans="1:5" ht="15.5" x14ac:dyDescent="0.25">
      <c r="A65" s="123" t="s">
        <v>364</v>
      </c>
      <c r="B65" s="126" t="s">
        <v>340</v>
      </c>
      <c r="C65" s="123" t="s">
        <v>6</v>
      </c>
      <c r="D65" s="125">
        <f>((951*1.16)+(752*1.16))/2</f>
        <v>987.7399999999999</v>
      </c>
      <c r="E65" s="4"/>
    </row>
    <row r="66" spans="1:5" ht="15.5" x14ac:dyDescent="0.25">
      <c r="A66" s="123" t="s">
        <v>365</v>
      </c>
      <c r="B66" s="126" t="s">
        <v>402</v>
      </c>
      <c r="C66" s="123" t="s">
        <v>6</v>
      </c>
      <c r="D66" s="125">
        <f>45*1.16</f>
        <v>52.199999999999996</v>
      </c>
      <c r="E66" s="4"/>
    </row>
    <row r="67" spans="1:5" ht="15.5" x14ac:dyDescent="0.25">
      <c r="A67" s="123" t="s">
        <v>127</v>
      </c>
      <c r="B67" s="126" t="s">
        <v>391</v>
      </c>
      <c r="C67" s="123" t="s">
        <v>6</v>
      </c>
      <c r="D67" s="125">
        <f>4041*1.16</f>
        <v>4687.5599999999995</v>
      </c>
      <c r="E67" s="4"/>
    </row>
    <row r="68" spans="1:5" ht="15.5" x14ac:dyDescent="0.25">
      <c r="A68" s="123" t="s">
        <v>129</v>
      </c>
      <c r="B68" s="126" t="s">
        <v>392</v>
      </c>
      <c r="C68" s="123" t="s">
        <v>6</v>
      </c>
      <c r="D68" s="125">
        <v>261</v>
      </c>
      <c r="E68" s="4"/>
    </row>
    <row r="69" spans="1:5" ht="15.5" x14ac:dyDescent="0.25">
      <c r="A69" s="123" t="s">
        <v>128</v>
      </c>
      <c r="B69" s="126" t="s">
        <v>393</v>
      </c>
      <c r="C69" s="123" t="s">
        <v>6</v>
      </c>
      <c r="D69" s="125">
        <f>989*1.16</f>
        <v>1147.24</v>
      </c>
      <c r="E69" s="4"/>
    </row>
    <row r="70" spans="1:5" ht="15.5" x14ac:dyDescent="0.25">
      <c r="A70" s="124" t="s">
        <v>651</v>
      </c>
      <c r="B70" s="127" t="s">
        <v>652</v>
      </c>
      <c r="C70" s="123" t="s">
        <v>6</v>
      </c>
      <c r="D70" s="125">
        <f>6590*1.16</f>
        <v>7644.4</v>
      </c>
      <c r="E70" s="4"/>
    </row>
    <row r="71" spans="1:5" ht="15.5" x14ac:dyDescent="0.25">
      <c r="A71" s="124" t="s">
        <v>665</v>
      </c>
      <c r="B71" s="127" t="s">
        <v>666</v>
      </c>
      <c r="C71" s="123" t="s">
        <v>6</v>
      </c>
      <c r="D71" s="125">
        <f>14838.5/50</f>
        <v>296.77</v>
      </c>
    </row>
  </sheetData>
  <pageMargins left="1" right="1" top="1" bottom="1" header="0.5" footer="0.5"/>
  <pageSetup orientation="portrait" r:id="rId1"/>
  <headerFooter>
    <oddHeader>&amp;L&amp;G&amp;C&amp;22 22-Sustancias uso recurrente&amp;RVersión 2025-01</oddHeader>
    <oddFooter>&amp;RNota: Los precios tienen un valor promedio, éste depende del valor del lote de procedencia, por lo que sólo considerelo como una referencia. Las existencias pueden variar de acuerdo a la demanda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980F-1965-4BEB-AA35-7D3F008D8450}">
  <sheetPr>
    <tabColor rgb="FF99FF33"/>
  </sheetPr>
  <dimension ref="A1:Z49"/>
  <sheetViews>
    <sheetView view="pageBreakPreview" zoomScale="96" zoomScaleNormal="100" zoomScaleSheetLayoutView="96" zoomScalePageLayoutView="140" workbookViewId="0">
      <selection activeCell="T26" sqref="T26"/>
    </sheetView>
  </sheetViews>
  <sheetFormatPr baseColWidth="10" defaultColWidth="11.5" defaultRowHeight="12.8" x14ac:dyDescent="0.2"/>
  <cols>
    <col min="1" max="1" width="1.5" style="40" customWidth="1"/>
    <col min="2" max="3" width="4.125" style="40" customWidth="1"/>
    <col min="4" max="4" width="1.5" style="40" customWidth="1"/>
    <col min="5" max="5" width="3" style="40" customWidth="1"/>
    <col min="6" max="6" width="1.5" style="40" customWidth="1"/>
    <col min="7" max="7" width="4.125" style="40" customWidth="1"/>
    <col min="8" max="8" width="2" style="40" customWidth="1"/>
    <col min="9" max="10" width="3" style="40" customWidth="1"/>
    <col min="11" max="12" width="1.5" style="40" customWidth="1"/>
    <col min="13" max="13" width="3" style="40" customWidth="1"/>
    <col min="14" max="14" width="1.5" style="40" customWidth="1"/>
    <col min="15" max="15" width="8.125" style="40" customWidth="1"/>
    <col min="16" max="16" width="3" style="40" customWidth="1"/>
    <col min="17" max="17" width="1.5" style="40" customWidth="1"/>
    <col min="18" max="18" width="6.875" style="40" customWidth="1"/>
    <col min="19" max="19" width="9.875" style="40" customWidth="1"/>
    <col min="20" max="20" width="10.625" style="40" customWidth="1"/>
    <col min="21" max="21" width="10" style="9" bestFit="1" customWidth="1"/>
    <col min="22" max="22" width="1.5" style="9" customWidth="1"/>
    <col min="23" max="23" width="2.5" style="9" bestFit="1" customWidth="1"/>
    <col min="24" max="25" width="4.125" style="9" customWidth="1"/>
    <col min="26" max="26" width="3" style="9" customWidth="1"/>
    <col min="27" max="256" width="11.5" style="9"/>
    <col min="257" max="257" width="1.5" style="9" customWidth="1"/>
    <col min="258" max="259" width="4.125" style="9" customWidth="1"/>
    <col min="260" max="260" width="1.5" style="9" customWidth="1"/>
    <col min="261" max="261" width="3" style="9" customWidth="1"/>
    <col min="262" max="262" width="1.5" style="9" customWidth="1"/>
    <col min="263" max="263" width="4.125" style="9" customWidth="1"/>
    <col min="264" max="264" width="2" style="9" customWidth="1"/>
    <col min="265" max="266" width="3" style="9" customWidth="1"/>
    <col min="267" max="268" width="1.5" style="9" customWidth="1"/>
    <col min="269" max="269" width="3" style="9" customWidth="1"/>
    <col min="270" max="270" width="1.5" style="9" customWidth="1"/>
    <col min="271" max="271" width="8.125" style="9" customWidth="1"/>
    <col min="272" max="272" width="3" style="9" customWidth="1"/>
    <col min="273" max="273" width="1.5" style="9" customWidth="1"/>
    <col min="274" max="274" width="6.875" style="9" customWidth="1"/>
    <col min="275" max="275" width="9.875" style="9" customWidth="1"/>
    <col min="276" max="276" width="10.625" style="9" customWidth="1"/>
    <col min="277" max="277" width="10" style="9" bestFit="1" customWidth="1"/>
    <col min="278" max="278" width="1.5" style="9" customWidth="1"/>
    <col min="279" max="279" width="2.5" style="9" bestFit="1" customWidth="1"/>
    <col min="280" max="281" width="4.125" style="9" customWidth="1"/>
    <col min="282" max="282" width="3" style="9" customWidth="1"/>
    <col min="283" max="512" width="11.5" style="9"/>
    <col min="513" max="513" width="1.5" style="9" customWidth="1"/>
    <col min="514" max="515" width="4.125" style="9" customWidth="1"/>
    <col min="516" max="516" width="1.5" style="9" customWidth="1"/>
    <col min="517" max="517" width="3" style="9" customWidth="1"/>
    <col min="518" max="518" width="1.5" style="9" customWidth="1"/>
    <col min="519" max="519" width="4.125" style="9" customWidth="1"/>
    <col min="520" max="520" width="2" style="9" customWidth="1"/>
    <col min="521" max="522" width="3" style="9" customWidth="1"/>
    <col min="523" max="524" width="1.5" style="9" customWidth="1"/>
    <col min="525" max="525" width="3" style="9" customWidth="1"/>
    <col min="526" max="526" width="1.5" style="9" customWidth="1"/>
    <col min="527" max="527" width="8.125" style="9" customWidth="1"/>
    <col min="528" max="528" width="3" style="9" customWidth="1"/>
    <col min="529" max="529" width="1.5" style="9" customWidth="1"/>
    <col min="530" max="530" width="6.875" style="9" customWidth="1"/>
    <col min="531" max="531" width="9.875" style="9" customWidth="1"/>
    <col min="532" max="532" width="10.625" style="9" customWidth="1"/>
    <col min="533" max="533" width="10" style="9" bestFit="1" customWidth="1"/>
    <col min="534" max="534" width="1.5" style="9" customWidth="1"/>
    <col min="535" max="535" width="2.5" style="9" bestFit="1" customWidth="1"/>
    <col min="536" max="537" width="4.125" style="9" customWidth="1"/>
    <col min="538" max="538" width="3" style="9" customWidth="1"/>
    <col min="539" max="768" width="11.5" style="9"/>
    <col min="769" max="769" width="1.5" style="9" customWidth="1"/>
    <col min="770" max="771" width="4.125" style="9" customWidth="1"/>
    <col min="772" max="772" width="1.5" style="9" customWidth="1"/>
    <col min="773" max="773" width="3" style="9" customWidth="1"/>
    <col min="774" max="774" width="1.5" style="9" customWidth="1"/>
    <col min="775" max="775" width="4.125" style="9" customWidth="1"/>
    <col min="776" max="776" width="2" style="9" customWidth="1"/>
    <col min="777" max="778" width="3" style="9" customWidth="1"/>
    <col min="779" max="780" width="1.5" style="9" customWidth="1"/>
    <col min="781" max="781" width="3" style="9" customWidth="1"/>
    <col min="782" max="782" width="1.5" style="9" customWidth="1"/>
    <col min="783" max="783" width="8.125" style="9" customWidth="1"/>
    <col min="784" max="784" width="3" style="9" customWidth="1"/>
    <col min="785" max="785" width="1.5" style="9" customWidth="1"/>
    <col min="786" max="786" width="6.875" style="9" customWidth="1"/>
    <col min="787" max="787" width="9.875" style="9" customWidth="1"/>
    <col min="788" max="788" width="10.625" style="9" customWidth="1"/>
    <col min="789" max="789" width="10" style="9" bestFit="1" customWidth="1"/>
    <col min="790" max="790" width="1.5" style="9" customWidth="1"/>
    <col min="791" max="791" width="2.5" style="9" bestFit="1" customWidth="1"/>
    <col min="792" max="793" width="4.125" style="9" customWidth="1"/>
    <col min="794" max="794" width="3" style="9" customWidth="1"/>
    <col min="795" max="1024" width="11.5" style="9"/>
    <col min="1025" max="1025" width="1.5" style="9" customWidth="1"/>
    <col min="1026" max="1027" width="4.125" style="9" customWidth="1"/>
    <col min="1028" max="1028" width="1.5" style="9" customWidth="1"/>
    <col min="1029" max="1029" width="3" style="9" customWidth="1"/>
    <col min="1030" max="1030" width="1.5" style="9" customWidth="1"/>
    <col min="1031" max="1031" width="4.125" style="9" customWidth="1"/>
    <col min="1032" max="1032" width="2" style="9" customWidth="1"/>
    <col min="1033" max="1034" width="3" style="9" customWidth="1"/>
    <col min="1035" max="1036" width="1.5" style="9" customWidth="1"/>
    <col min="1037" max="1037" width="3" style="9" customWidth="1"/>
    <col min="1038" max="1038" width="1.5" style="9" customWidth="1"/>
    <col min="1039" max="1039" width="8.125" style="9" customWidth="1"/>
    <col min="1040" max="1040" width="3" style="9" customWidth="1"/>
    <col min="1041" max="1041" width="1.5" style="9" customWidth="1"/>
    <col min="1042" max="1042" width="6.875" style="9" customWidth="1"/>
    <col min="1043" max="1043" width="9.875" style="9" customWidth="1"/>
    <col min="1044" max="1044" width="10.625" style="9" customWidth="1"/>
    <col min="1045" max="1045" width="10" style="9" bestFit="1" customWidth="1"/>
    <col min="1046" max="1046" width="1.5" style="9" customWidth="1"/>
    <col min="1047" max="1047" width="2.5" style="9" bestFit="1" customWidth="1"/>
    <col min="1048" max="1049" width="4.125" style="9" customWidth="1"/>
    <col min="1050" max="1050" width="3" style="9" customWidth="1"/>
    <col min="1051" max="1280" width="11.5" style="9"/>
    <col min="1281" max="1281" width="1.5" style="9" customWidth="1"/>
    <col min="1282" max="1283" width="4.125" style="9" customWidth="1"/>
    <col min="1284" max="1284" width="1.5" style="9" customWidth="1"/>
    <col min="1285" max="1285" width="3" style="9" customWidth="1"/>
    <col min="1286" max="1286" width="1.5" style="9" customWidth="1"/>
    <col min="1287" max="1287" width="4.125" style="9" customWidth="1"/>
    <col min="1288" max="1288" width="2" style="9" customWidth="1"/>
    <col min="1289" max="1290" width="3" style="9" customWidth="1"/>
    <col min="1291" max="1292" width="1.5" style="9" customWidth="1"/>
    <col min="1293" max="1293" width="3" style="9" customWidth="1"/>
    <col min="1294" max="1294" width="1.5" style="9" customWidth="1"/>
    <col min="1295" max="1295" width="8.125" style="9" customWidth="1"/>
    <col min="1296" max="1296" width="3" style="9" customWidth="1"/>
    <col min="1297" max="1297" width="1.5" style="9" customWidth="1"/>
    <col min="1298" max="1298" width="6.875" style="9" customWidth="1"/>
    <col min="1299" max="1299" width="9.875" style="9" customWidth="1"/>
    <col min="1300" max="1300" width="10.625" style="9" customWidth="1"/>
    <col min="1301" max="1301" width="10" style="9" bestFit="1" customWidth="1"/>
    <col min="1302" max="1302" width="1.5" style="9" customWidth="1"/>
    <col min="1303" max="1303" width="2.5" style="9" bestFit="1" customWidth="1"/>
    <col min="1304" max="1305" width="4.125" style="9" customWidth="1"/>
    <col min="1306" max="1306" width="3" style="9" customWidth="1"/>
    <col min="1307" max="1536" width="11.5" style="9"/>
    <col min="1537" max="1537" width="1.5" style="9" customWidth="1"/>
    <col min="1538" max="1539" width="4.125" style="9" customWidth="1"/>
    <col min="1540" max="1540" width="1.5" style="9" customWidth="1"/>
    <col min="1541" max="1541" width="3" style="9" customWidth="1"/>
    <col min="1542" max="1542" width="1.5" style="9" customWidth="1"/>
    <col min="1543" max="1543" width="4.125" style="9" customWidth="1"/>
    <col min="1544" max="1544" width="2" style="9" customWidth="1"/>
    <col min="1545" max="1546" width="3" style="9" customWidth="1"/>
    <col min="1547" max="1548" width="1.5" style="9" customWidth="1"/>
    <col min="1549" max="1549" width="3" style="9" customWidth="1"/>
    <col min="1550" max="1550" width="1.5" style="9" customWidth="1"/>
    <col min="1551" max="1551" width="8.125" style="9" customWidth="1"/>
    <col min="1552" max="1552" width="3" style="9" customWidth="1"/>
    <col min="1553" max="1553" width="1.5" style="9" customWidth="1"/>
    <col min="1554" max="1554" width="6.875" style="9" customWidth="1"/>
    <col min="1555" max="1555" width="9.875" style="9" customWidth="1"/>
    <col min="1556" max="1556" width="10.625" style="9" customWidth="1"/>
    <col min="1557" max="1557" width="10" style="9" bestFit="1" customWidth="1"/>
    <col min="1558" max="1558" width="1.5" style="9" customWidth="1"/>
    <col min="1559" max="1559" width="2.5" style="9" bestFit="1" customWidth="1"/>
    <col min="1560" max="1561" width="4.125" style="9" customWidth="1"/>
    <col min="1562" max="1562" width="3" style="9" customWidth="1"/>
    <col min="1563" max="1792" width="11.5" style="9"/>
    <col min="1793" max="1793" width="1.5" style="9" customWidth="1"/>
    <col min="1794" max="1795" width="4.125" style="9" customWidth="1"/>
    <col min="1796" max="1796" width="1.5" style="9" customWidth="1"/>
    <col min="1797" max="1797" width="3" style="9" customWidth="1"/>
    <col min="1798" max="1798" width="1.5" style="9" customWidth="1"/>
    <col min="1799" max="1799" width="4.125" style="9" customWidth="1"/>
    <col min="1800" max="1800" width="2" style="9" customWidth="1"/>
    <col min="1801" max="1802" width="3" style="9" customWidth="1"/>
    <col min="1803" max="1804" width="1.5" style="9" customWidth="1"/>
    <col min="1805" max="1805" width="3" style="9" customWidth="1"/>
    <col min="1806" max="1806" width="1.5" style="9" customWidth="1"/>
    <col min="1807" max="1807" width="8.125" style="9" customWidth="1"/>
    <col min="1808" max="1808" width="3" style="9" customWidth="1"/>
    <col min="1809" max="1809" width="1.5" style="9" customWidth="1"/>
    <col min="1810" max="1810" width="6.875" style="9" customWidth="1"/>
    <col min="1811" max="1811" width="9.875" style="9" customWidth="1"/>
    <col min="1812" max="1812" width="10.625" style="9" customWidth="1"/>
    <col min="1813" max="1813" width="10" style="9" bestFit="1" customWidth="1"/>
    <col min="1814" max="1814" width="1.5" style="9" customWidth="1"/>
    <col min="1815" max="1815" width="2.5" style="9" bestFit="1" customWidth="1"/>
    <col min="1816" max="1817" width="4.125" style="9" customWidth="1"/>
    <col min="1818" max="1818" width="3" style="9" customWidth="1"/>
    <col min="1819" max="2048" width="11.5" style="9"/>
    <col min="2049" max="2049" width="1.5" style="9" customWidth="1"/>
    <col min="2050" max="2051" width="4.125" style="9" customWidth="1"/>
    <col min="2052" max="2052" width="1.5" style="9" customWidth="1"/>
    <col min="2053" max="2053" width="3" style="9" customWidth="1"/>
    <col min="2054" max="2054" width="1.5" style="9" customWidth="1"/>
    <col min="2055" max="2055" width="4.125" style="9" customWidth="1"/>
    <col min="2056" max="2056" width="2" style="9" customWidth="1"/>
    <col min="2057" max="2058" width="3" style="9" customWidth="1"/>
    <col min="2059" max="2060" width="1.5" style="9" customWidth="1"/>
    <col min="2061" max="2061" width="3" style="9" customWidth="1"/>
    <col min="2062" max="2062" width="1.5" style="9" customWidth="1"/>
    <col min="2063" max="2063" width="8.125" style="9" customWidth="1"/>
    <col min="2064" max="2064" width="3" style="9" customWidth="1"/>
    <col min="2065" max="2065" width="1.5" style="9" customWidth="1"/>
    <col min="2066" max="2066" width="6.875" style="9" customWidth="1"/>
    <col min="2067" max="2067" width="9.875" style="9" customWidth="1"/>
    <col min="2068" max="2068" width="10.625" style="9" customWidth="1"/>
    <col min="2069" max="2069" width="10" style="9" bestFit="1" customWidth="1"/>
    <col min="2070" max="2070" width="1.5" style="9" customWidth="1"/>
    <col min="2071" max="2071" width="2.5" style="9" bestFit="1" customWidth="1"/>
    <col min="2072" max="2073" width="4.125" style="9" customWidth="1"/>
    <col min="2074" max="2074" width="3" style="9" customWidth="1"/>
    <col min="2075" max="2304" width="11.5" style="9"/>
    <col min="2305" max="2305" width="1.5" style="9" customWidth="1"/>
    <col min="2306" max="2307" width="4.125" style="9" customWidth="1"/>
    <col min="2308" max="2308" width="1.5" style="9" customWidth="1"/>
    <col min="2309" max="2309" width="3" style="9" customWidth="1"/>
    <col min="2310" max="2310" width="1.5" style="9" customWidth="1"/>
    <col min="2311" max="2311" width="4.125" style="9" customWidth="1"/>
    <col min="2312" max="2312" width="2" style="9" customWidth="1"/>
    <col min="2313" max="2314" width="3" style="9" customWidth="1"/>
    <col min="2315" max="2316" width="1.5" style="9" customWidth="1"/>
    <col min="2317" max="2317" width="3" style="9" customWidth="1"/>
    <col min="2318" max="2318" width="1.5" style="9" customWidth="1"/>
    <col min="2319" max="2319" width="8.125" style="9" customWidth="1"/>
    <col min="2320" max="2320" width="3" style="9" customWidth="1"/>
    <col min="2321" max="2321" width="1.5" style="9" customWidth="1"/>
    <col min="2322" max="2322" width="6.875" style="9" customWidth="1"/>
    <col min="2323" max="2323" width="9.875" style="9" customWidth="1"/>
    <col min="2324" max="2324" width="10.625" style="9" customWidth="1"/>
    <col min="2325" max="2325" width="10" style="9" bestFit="1" customWidth="1"/>
    <col min="2326" max="2326" width="1.5" style="9" customWidth="1"/>
    <col min="2327" max="2327" width="2.5" style="9" bestFit="1" customWidth="1"/>
    <col min="2328" max="2329" width="4.125" style="9" customWidth="1"/>
    <col min="2330" max="2330" width="3" style="9" customWidth="1"/>
    <col min="2331" max="2560" width="11.5" style="9"/>
    <col min="2561" max="2561" width="1.5" style="9" customWidth="1"/>
    <col min="2562" max="2563" width="4.125" style="9" customWidth="1"/>
    <col min="2564" max="2564" width="1.5" style="9" customWidth="1"/>
    <col min="2565" max="2565" width="3" style="9" customWidth="1"/>
    <col min="2566" max="2566" width="1.5" style="9" customWidth="1"/>
    <col min="2567" max="2567" width="4.125" style="9" customWidth="1"/>
    <col min="2568" max="2568" width="2" style="9" customWidth="1"/>
    <col min="2569" max="2570" width="3" style="9" customWidth="1"/>
    <col min="2571" max="2572" width="1.5" style="9" customWidth="1"/>
    <col min="2573" max="2573" width="3" style="9" customWidth="1"/>
    <col min="2574" max="2574" width="1.5" style="9" customWidth="1"/>
    <col min="2575" max="2575" width="8.125" style="9" customWidth="1"/>
    <col min="2576" max="2576" width="3" style="9" customWidth="1"/>
    <col min="2577" max="2577" width="1.5" style="9" customWidth="1"/>
    <col min="2578" max="2578" width="6.875" style="9" customWidth="1"/>
    <col min="2579" max="2579" width="9.875" style="9" customWidth="1"/>
    <col min="2580" max="2580" width="10.625" style="9" customWidth="1"/>
    <col min="2581" max="2581" width="10" style="9" bestFit="1" customWidth="1"/>
    <col min="2582" max="2582" width="1.5" style="9" customWidth="1"/>
    <col min="2583" max="2583" width="2.5" style="9" bestFit="1" customWidth="1"/>
    <col min="2584" max="2585" width="4.125" style="9" customWidth="1"/>
    <col min="2586" max="2586" width="3" style="9" customWidth="1"/>
    <col min="2587" max="2816" width="11.5" style="9"/>
    <col min="2817" max="2817" width="1.5" style="9" customWidth="1"/>
    <col min="2818" max="2819" width="4.125" style="9" customWidth="1"/>
    <col min="2820" max="2820" width="1.5" style="9" customWidth="1"/>
    <col min="2821" max="2821" width="3" style="9" customWidth="1"/>
    <col min="2822" max="2822" width="1.5" style="9" customWidth="1"/>
    <col min="2823" max="2823" width="4.125" style="9" customWidth="1"/>
    <col min="2824" max="2824" width="2" style="9" customWidth="1"/>
    <col min="2825" max="2826" width="3" style="9" customWidth="1"/>
    <col min="2827" max="2828" width="1.5" style="9" customWidth="1"/>
    <col min="2829" max="2829" width="3" style="9" customWidth="1"/>
    <col min="2830" max="2830" width="1.5" style="9" customWidth="1"/>
    <col min="2831" max="2831" width="8.125" style="9" customWidth="1"/>
    <col min="2832" max="2832" width="3" style="9" customWidth="1"/>
    <col min="2833" max="2833" width="1.5" style="9" customWidth="1"/>
    <col min="2834" max="2834" width="6.875" style="9" customWidth="1"/>
    <col min="2835" max="2835" width="9.875" style="9" customWidth="1"/>
    <col min="2836" max="2836" width="10.625" style="9" customWidth="1"/>
    <col min="2837" max="2837" width="10" style="9" bestFit="1" customWidth="1"/>
    <col min="2838" max="2838" width="1.5" style="9" customWidth="1"/>
    <col min="2839" max="2839" width="2.5" style="9" bestFit="1" customWidth="1"/>
    <col min="2840" max="2841" width="4.125" style="9" customWidth="1"/>
    <col min="2842" max="2842" width="3" style="9" customWidth="1"/>
    <col min="2843" max="3072" width="11.5" style="9"/>
    <col min="3073" max="3073" width="1.5" style="9" customWidth="1"/>
    <col min="3074" max="3075" width="4.125" style="9" customWidth="1"/>
    <col min="3076" max="3076" width="1.5" style="9" customWidth="1"/>
    <col min="3077" max="3077" width="3" style="9" customWidth="1"/>
    <col min="3078" max="3078" width="1.5" style="9" customWidth="1"/>
    <col min="3079" max="3079" width="4.125" style="9" customWidth="1"/>
    <col min="3080" max="3080" width="2" style="9" customWidth="1"/>
    <col min="3081" max="3082" width="3" style="9" customWidth="1"/>
    <col min="3083" max="3084" width="1.5" style="9" customWidth="1"/>
    <col min="3085" max="3085" width="3" style="9" customWidth="1"/>
    <col min="3086" max="3086" width="1.5" style="9" customWidth="1"/>
    <col min="3087" max="3087" width="8.125" style="9" customWidth="1"/>
    <col min="3088" max="3088" width="3" style="9" customWidth="1"/>
    <col min="3089" max="3089" width="1.5" style="9" customWidth="1"/>
    <col min="3090" max="3090" width="6.875" style="9" customWidth="1"/>
    <col min="3091" max="3091" width="9.875" style="9" customWidth="1"/>
    <col min="3092" max="3092" width="10.625" style="9" customWidth="1"/>
    <col min="3093" max="3093" width="10" style="9" bestFit="1" customWidth="1"/>
    <col min="3094" max="3094" width="1.5" style="9" customWidth="1"/>
    <col min="3095" max="3095" width="2.5" style="9" bestFit="1" customWidth="1"/>
    <col min="3096" max="3097" width="4.125" style="9" customWidth="1"/>
    <col min="3098" max="3098" width="3" style="9" customWidth="1"/>
    <col min="3099" max="3328" width="11.5" style="9"/>
    <col min="3329" max="3329" width="1.5" style="9" customWidth="1"/>
    <col min="3330" max="3331" width="4.125" style="9" customWidth="1"/>
    <col min="3332" max="3332" width="1.5" style="9" customWidth="1"/>
    <col min="3333" max="3333" width="3" style="9" customWidth="1"/>
    <col min="3334" max="3334" width="1.5" style="9" customWidth="1"/>
    <col min="3335" max="3335" width="4.125" style="9" customWidth="1"/>
    <col min="3336" max="3336" width="2" style="9" customWidth="1"/>
    <col min="3337" max="3338" width="3" style="9" customWidth="1"/>
    <col min="3339" max="3340" width="1.5" style="9" customWidth="1"/>
    <col min="3341" max="3341" width="3" style="9" customWidth="1"/>
    <col min="3342" max="3342" width="1.5" style="9" customWidth="1"/>
    <col min="3343" max="3343" width="8.125" style="9" customWidth="1"/>
    <col min="3344" max="3344" width="3" style="9" customWidth="1"/>
    <col min="3345" max="3345" width="1.5" style="9" customWidth="1"/>
    <col min="3346" max="3346" width="6.875" style="9" customWidth="1"/>
    <col min="3347" max="3347" width="9.875" style="9" customWidth="1"/>
    <col min="3348" max="3348" width="10.625" style="9" customWidth="1"/>
    <col min="3349" max="3349" width="10" style="9" bestFit="1" customWidth="1"/>
    <col min="3350" max="3350" width="1.5" style="9" customWidth="1"/>
    <col min="3351" max="3351" width="2.5" style="9" bestFit="1" customWidth="1"/>
    <col min="3352" max="3353" width="4.125" style="9" customWidth="1"/>
    <col min="3354" max="3354" width="3" style="9" customWidth="1"/>
    <col min="3355" max="3584" width="11.5" style="9"/>
    <col min="3585" max="3585" width="1.5" style="9" customWidth="1"/>
    <col min="3586" max="3587" width="4.125" style="9" customWidth="1"/>
    <col min="3588" max="3588" width="1.5" style="9" customWidth="1"/>
    <col min="3589" max="3589" width="3" style="9" customWidth="1"/>
    <col min="3590" max="3590" width="1.5" style="9" customWidth="1"/>
    <col min="3591" max="3591" width="4.125" style="9" customWidth="1"/>
    <col min="3592" max="3592" width="2" style="9" customWidth="1"/>
    <col min="3593" max="3594" width="3" style="9" customWidth="1"/>
    <col min="3595" max="3596" width="1.5" style="9" customWidth="1"/>
    <col min="3597" max="3597" width="3" style="9" customWidth="1"/>
    <col min="3598" max="3598" width="1.5" style="9" customWidth="1"/>
    <col min="3599" max="3599" width="8.125" style="9" customWidth="1"/>
    <col min="3600" max="3600" width="3" style="9" customWidth="1"/>
    <col min="3601" max="3601" width="1.5" style="9" customWidth="1"/>
    <col min="3602" max="3602" width="6.875" style="9" customWidth="1"/>
    <col min="3603" max="3603" width="9.875" style="9" customWidth="1"/>
    <col min="3604" max="3604" width="10.625" style="9" customWidth="1"/>
    <col min="3605" max="3605" width="10" style="9" bestFit="1" customWidth="1"/>
    <col min="3606" max="3606" width="1.5" style="9" customWidth="1"/>
    <col min="3607" max="3607" width="2.5" style="9" bestFit="1" customWidth="1"/>
    <col min="3608" max="3609" width="4.125" style="9" customWidth="1"/>
    <col min="3610" max="3610" width="3" style="9" customWidth="1"/>
    <col min="3611" max="3840" width="11.5" style="9"/>
    <col min="3841" max="3841" width="1.5" style="9" customWidth="1"/>
    <col min="3842" max="3843" width="4.125" style="9" customWidth="1"/>
    <col min="3844" max="3844" width="1.5" style="9" customWidth="1"/>
    <col min="3845" max="3845" width="3" style="9" customWidth="1"/>
    <col min="3846" max="3846" width="1.5" style="9" customWidth="1"/>
    <col min="3847" max="3847" width="4.125" style="9" customWidth="1"/>
    <col min="3848" max="3848" width="2" style="9" customWidth="1"/>
    <col min="3849" max="3850" width="3" style="9" customWidth="1"/>
    <col min="3851" max="3852" width="1.5" style="9" customWidth="1"/>
    <col min="3853" max="3853" width="3" style="9" customWidth="1"/>
    <col min="3854" max="3854" width="1.5" style="9" customWidth="1"/>
    <col min="3855" max="3855" width="8.125" style="9" customWidth="1"/>
    <col min="3856" max="3856" width="3" style="9" customWidth="1"/>
    <col min="3857" max="3857" width="1.5" style="9" customWidth="1"/>
    <col min="3858" max="3858" width="6.875" style="9" customWidth="1"/>
    <col min="3859" max="3859" width="9.875" style="9" customWidth="1"/>
    <col min="3860" max="3860" width="10.625" style="9" customWidth="1"/>
    <col min="3861" max="3861" width="10" style="9" bestFit="1" customWidth="1"/>
    <col min="3862" max="3862" width="1.5" style="9" customWidth="1"/>
    <col min="3863" max="3863" width="2.5" style="9" bestFit="1" customWidth="1"/>
    <col min="3864" max="3865" width="4.125" style="9" customWidth="1"/>
    <col min="3866" max="3866" width="3" style="9" customWidth="1"/>
    <col min="3867" max="4096" width="11.5" style="9"/>
    <col min="4097" max="4097" width="1.5" style="9" customWidth="1"/>
    <col min="4098" max="4099" width="4.125" style="9" customWidth="1"/>
    <col min="4100" max="4100" width="1.5" style="9" customWidth="1"/>
    <col min="4101" max="4101" width="3" style="9" customWidth="1"/>
    <col min="4102" max="4102" width="1.5" style="9" customWidth="1"/>
    <col min="4103" max="4103" width="4.125" style="9" customWidth="1"/>
    <col min="4104" max="4104" width="2" style="9" customWidth="1"/>
    <col min="4105" max="4106" width="3" style="9" customWidth="1"/>
    <col min="4107" max="4108" width="1.5" style="9" customWidth="1"/>
    <col min="4109" max="4109" width="3" style="9" customWidth="1"/>
    <col min="4110" max="4110" width="1.5" style="9" customWidth="1"/>
    <col min="4111" max="4111" width="8.125" style="9" customWidth="1"/>
    <col min="4112" max="4112" width="3" style="9" customWidth="1"/>
    <col min="4113" max="4113" width="1.5" style="9" customWidth="1"/>
    <col min="4114" max="4114" width="6.875" style="9" customWidth="1"/>
    <col min="4115" max="4115" width="9.875" style="9" customWidth="1"/>
    <col min="4116" max="4116" width="10.625" style="9" customWidth="1"/>
    <col min="4117" max="4117" width="10" style="9" bestFit="1" customWidth="1"/>
    <col min="4118" max="4118" width="1.5" style="9" customWidth="1"/>
    <col min="4119" max="4119" width="2.5" style="9" bestFit="1" customWidth="1"/>
    <col min="4120" max="4121" width="4.125" style="9" customWidth="1"/>
    <col min="4122" max="4122" width="3" style="9" customWidth="1"/>
    <col min="4123" max="4352" width="11.5" style="9"/>
    <col min="4353" max="4353" width="1.5" style="9" customWidth="1"/>
    <col min="4354" max="4355" width="4.125" style="9" customWidth="1"/>
    <col min="4356" max="4356" width="1.5" style="9" customWidth="1"/>
    <col min="4357" max="4357" width="3" style="9" customWidth="1"/>
    <col min="4358" max="4358" width="1.5" style="9" customWidth="1"/>
    <col min="4359" max="4359" width="4.125" style="9" customWidth="1"/>
    <col min="4360" max="4360" width="2" style="9" customWidth="1"/>
    <col min="4361" max="4362" width="3" style="9" customWidth="1"/>
    <col min="4363" max="4364" width="1.5" style="9" customWidth="1"/>
    <col min="4365" max="4365" width="3" style="9" customWidth="1"/>
    <col min="4366" max="4366" width="1.5" style="9" customWidth="1"/>
    <col min="4367" max="4367" width="8.125" style="9" customWidth="1"/>
    <col min="4368" max="4368" width="3" style="9" customWidth="1"/>
    <col min="4369" max="4369" width="1.5" style="9" customWidth="1"/>
    <col min="4370" max="4370" width="6.875" style="9" customWidth="1"/>
    <col min="4371" max="4371" width="9.875" style="9" customWidth="1"/>
    <col min="4372" max="4372" width="10.625" style="9" customWidth="1"/>
    <col min="4373" max="4373" width="10" style="9" bestFit="1" customWidth="1"/>
    <col min="4374" max="4374" width="1.5" style="9" customWidth="1"/>
    <col min="4375" max="4375" width="2.5" style="9" bestFit="1" customWidth="1"/>
    <col min="4376" max="4377" width="4.125" style="9" customWidth="1"/>
    <col min="4378" max="4378" width="3" style="9" customWidth="1"/>
    <col min="4379" max="4608" width="11.5" style="9"/>
    <col min="4609" max="4609" width="1.5" style="9" customWidth="1"/>
    <col min="4610" max="4611" width="4.125" style="9" customWidth="1"/>
    <col min="4612" max="4612" width="1.5" style="9" customWidth="1"/>
    <col min="4613" max="4613" width="3" style="9" customWidth="1"/>
    <col min="4614" max="4614" width="1.5" style="9" customWidth="1"/>
    <col min="4615" max="4615" width="4.125" style="9" customWidth="1"/>
    <col min="4616" max="4616" width="2" style="9" customWidth="1"/>
    <col min="4617" max="4618" width="3" style="9" customWidth="1"/>
    <col min="4619" max="4620" width="1.5" style="9" customWidth="1"/>
    <col min="4621" max="4621" width="3" style="9" customWidth="1"/>
    <col min="4622" max="4622" width="1.5" style="9" customWidth="1"/>
    <col min="4623" max="4623" width="8.125" style="9" customWidth="1"/>
    <col min="4624" max="4624" width="3" style="9" customWidth="1"/>
    <col min="4625" max="4625" width="1.5" style="9" customWidth="1"/>
    <col min="4626" max="4626" width="6.875" style="9" customWidth="1"/>
    <col min="4627" max="4627" width="9.875" style="9" customWidth="1"/>
    <col min="4628" max="4628" width="10.625" style="9" customWidth="1"/>
    <col min="4629" max="4629" width="10" style="9" bestFit="1" customWidth="1"/>
    <col min="4630" max="4630" width="1.5" style="9" customWidth="1"/>
    <col min="4631" max="4631" width="2.5" style="9" bestFit="1" customWidth="1"/>
    <col min="4632" max="4633" width="4.125" style="9" customWidth="1"/>
    <col min="4634" max="4634" width="3" style="9" customWidth="1"/>
    <col min="4635" max="4864" width="11.5" style="9"/>
    <col min="4865" max="4865" width="1.5" style="9" customWidth="1"/>
    <col min="4866" max="4867" width="4.125" style="9" customWidth="1"/>
    <col min="4868" max="4868" width="1.5" style="9" customWidth="1"/>
    <col min="4869" max="4869" width="3" style="9" customWidth="1"/>
    <col min="4870" max="4870" width="1.5" style="9" customWidth="1"/>
    <col min="4871" max="4871" width="4.125" style="9" customWidth="1"/>
    <col min="4872" max="4872" width="2" style="9" customWidth="1"/>
    <col min="4873" max="4874" width="3" style="9" customWidth="1"/>
    <col min="4875" max="4876" width="1.5" style="9" customWidth="1"/>
    <col min="4877" max="4877" width="3" style="9" customWidth="1"/>
    <col min="4878" max="4878" width="1.5" style="9" customWidth="1"/>
    <col min="4879" max="4879" width="8.125" style="9" customWidth="1"/>
    <col min="4880" max="4880" width="3" style="9" customWidth="1"/>
    <col min="4881" max="4881" width="1.5" style="9" customWidth="1"/>
    <col min="4882" max="4882" width="6.875" style="9" customWidth="1"/>
    <col min="4883" max="4883" width="9.875" style="9" customWidth="1"/>
    <col min="4884" max="4884" width="10.625" style="9" customWidth="1"/>
    <col min="4885" max="4885" width="10" style="9" bestFit="1" customWidth="1"/>
    <col min="4886" max="4886" width="1.5" style="9" customWidth="1"/>
    <col min="4887" max="4887" width="2.5" style="9" bestFit="1" customWidth="1"/>
    <col min="4888" max="4889" width="4.125" style="9" customWidth="1"/>
    <col min="4890" max="4890" width="3" style="9" customWidth="1"/>
    <col min="4891" max="5120" width="11.5" style="9"/>
    <col min="5121" max="5121" width="1.5" style="9" customWidth="1"/>
    <col min="5122" max="5123" width="4.125" style="9" customWidth="1"/>
    <col min="5124" max="5124" width="1.5" style="9" customWidth="1"/>
    <col min="5125" max="5125" width="3" style="9" customWidth="1"/>
    <col min="5126" max="5126" width="1.5" style="9" customWidth="1"/>
    <col min="5127" max="5127" width="4.125" style="9" customWidth="1"/>
    <col min="5128" max="5128" width="2" style="9" customWidth="1"/>
    <col min="5129" max="5130" width="3" style="9" customWidth="1"/>
    <col min="5131" max="5132" width="1.5" style="9" customWidth="1"/>
    <col min="5133" max="5133" width="3" style="9" customWidth="1"/>
    <col min="5134" max="5134" width="1.5" style="9" customWidth="1"/>
    <col min="5135" max="5135" width="8.125" style="9" customWidth="1"/>
    <col min="5136" max="5136" width="3" style="9" customWidth="1"/>
    <col min="5137" max="5137" width="1.5" style="9" customWidth="1"/>
    <col min="5138" max="5138" width="6.875" style="9" customWidth="1"/>
    <col min="5139" max="5139" width="9.875" style="9" customWidth="1"/>
    <col min="5140" max="5140" width="10.625" style="9" customWidth="1"/>
    <col min="5141" max="5141" width="10" style="9" bestFit="1" customWidth="1"/>
    <col min="5142" max="5142" width="1.5" style="9" customWidth="1"/>
    <col min="5143" max="5143" width="2.5" style="9" bestFit="1" customWidth="1"/>
    <col min="5144" max="5145" width="4.125" style="9" customWidth="1"/>
    <col min="5146" max="5146" width="3" style="9" customWidth="1"/>
    <col min="5147" max="5376" width="11.5" style="9"/>
    <col min="5377" max="5377" width="1.5" style="9" customWidth="1"/>
    <col min="5378" max="5379" width="4.125" style="9" customWidth="1"/>
    <col min="5380" max="5380" width="1.5" style="9" customWidth="1"/>
    <col min="5381" max="5381" width="3" style="9" customWidth="1"/>
    <col min="5382" max="5382" width="1.5" style="9" customWidth="1"/>
    <col min="5383" max="5383" width="4.125" style="9" customWidth="1"/>
    <col min="5384" max="5384" width="2" style="9" customWidth="1"/>
    <col min="5385" max="5386" width="3" style="9" customWidth="1"/>
    <col min="5387" max="5388" width="1.5" style="9" customWidth="1"/>
    <col min="5389" max="5389" width="3" style="9" customWidth="1"/>
    <col min="5390" max="5390" width="1.5" style="9" customWidth="1"/>
    <col min="5391" max="5391" width="8.125" style="9" customWidth="1"/>
    <col min="5392" max="5392" width="3" style="9" customWidth="1"/>
    <col min="5393" max="5393" width="1.5" style="9" customWidth="1"/>
    <col min="5394" max="5394" width="6.875" style="9" customWidth="1"/>
    <col min="5395" max="5395" width="9.875" style="9" customWidth="1"/>
    <col min="5396" max="5396" width="10.625" style="9" customWidth="1"/>
    <col min="5397" max="5397" width="10" style="9" bestFit="1" customWidth="1"/>
    <col min="5398" max="5398" width="1.5" style="9" customWidth="1"/>
    <col min="5399" max="5399" width="2.5" style="9" bestFit="1" customWidth="1"/>
    <col min="5400" max="5401" width="4.125" style="9" customWidth="1"/>
    <col min="5402" max="5402" width="3" style="9" customWidth="1"/>
    <col min="5403" max="5632" width="11.5" style="9"/>
    <col min="5633" max="5633" width="1.5" style="9" customWidth="1"/>
    <col min="5634" max="5635" width="4.125" style="9" customWidth="1"/>
    <col min="5636" max="5636" width="1.5" style="9" customWidth="1"/>
    <col min="5637" max="5637" width="3" style="9" customWidth="1"/>
    <col min="5638" max="5638" width="1.5" style="9" customWidth="1"/>
    <col min="5639" max="5639" width="4.125" style="9" customWidth="1"/>
    <col min="5640" max="5640" width="2" style="9" customWidth="1"/>
    <col min="5641" max="5642" width="3" style="9" customWidth="1"/>
    <col min="5643" max="5644" width="1.5" style="9" customWidth="1"/>
    <col min="5645" max="5645" width="3" style="9" customWidth="1"/>
    <col min="5646" max="5646" width="1.5" style="9" customWidth="1"/>
    <col min="5647" max="5647" width="8.125" style="9" customWidth="1"/>
    <col min="5648" max="5648" width="3" style="9" customWidth="1"/>
    <col min="5649" max="5649" width="1.5" style="9" customWidth="1"/>
    <col min="5650" max="5650" width="6.875" style="9" customWidth="1"/>
    <col min="5651" max="5651" width="9.875" style="9" customWidth="1"/>
    <col min="5652" max="5652" width="10.625" style="9" customWidth="1"/>
    <col min="5653" max="5653" width="10" style="9" bestFit="1" customWidth="1"/>
    <col min="5654" max="5654" width="1.5" style="9" customWidth="1"/>
    <col min="5655" max="5655" width="2.5" style="9" bestFit="1" customWidth="1"/>
    <col min="5656" max="5657" width="4.125" style="9" customWidth="1"/>
    <col min="5658" max="5658" width="3" style="9" customWidth="1"/>
    <col min="5659" max="5888" width="11.5" style="9"/>
    <col min="5889" max="5889" width="1.5" style="9" customWidth="1"/>
    <col min="5890" max="5891" width="4.125" style="9" customWidth="1"/>
    <col min="5892" max="5892" width="1.5" style="9" customWidth="1"/>
    <col min="5893" max="5893" width="3" style="9" customWidth="1"/>
    <col min="5894" max="5894" width="1.5" style="9" customWidth="1"/>
    <col min="5895" max="5895" width="4.125" style="9" customWidth="1"/>
    <col min="5896" max="5896" width="2" style="9" customWidth="1"/>
    <col min="5897" max="5898" width="3" style="9" customWidth="1"/>
    <col min="5899" max="5900" width="1.5" style="9" customWidth="1"/>
    <col min="5901" max="5901" width="3" style="9" customWidth="1"/>
    <col min="5902" max="5902" width="1.5" style="9" customWidth="1"/>
    <col min="5903" max="5903" width="8.125" style="9" customWidth="1"/>
    <col min="5904" max="5904" width="3" style="9" customWidth="1"/>
    <col min="5905" max="5905" width="1.5" style="9" customWidth="1"/>
    <col min="5906" max="5906" width="6.875" style="9" customWidth="1"/>
    <col min="5907" max="5907" width="9.875" style="9" customWidth="1"/>
    <col min="5908" max="5908" width="10.625" style="9" customWidth="1"/>
    <col min="5909" max="5909" width="10" style="9" bestFit="1" customWidth="1"/>
    <col min="5910" max="5910" width="1.5" style="9" customWidth="1"/>
    <col min="5911" max="5911" width="2.5" style="9" bestFit="1" customWidth="1"/>
    <col min="5912" max="5913" width="4.125" style="9" customWidth="1"/>
    <col min="5914" max="5914" width="3" style="9" customWidth="1"/>
    <col min="5915" max="6144" width="11.5" style="9"/>
    <col min="6145" max="6145" width="1.5" style="9" customWidth="1"/>
    <col min="6146" max="6147" width="4.125" style="9" customWidth="1"/>
    <col min="6148" max="6148" width="1.5" style="9" customWidth="1"/>
    <col min="6149" max="6149" width="3" style="9" customWidth="1"/>
    <col min="6150" max="6150" width="1.5" style="9" customWidth="1"/>
    <col min="6151" max="6151" width="4.125" style="9" customWidth="1"/>
    <col min="6152" max="6152" width="2" style="9" customWidth="1"/>
    <col min="6153" max="6154" width="3" style="9" customWidth="1"/>
    <col min="6155" max="6156" width="1.5" style="9" customWidth="1"/>
    <col min="6157" max="6157" width="3" style="9" customWidth="1"/>
    <col min="6158" max="6158" width="1.5" style="9" customWidth="1"/>
    <col min="6159" max="6159" width="8.125" style="9" customWidth="1"/>
    <col min="6160" max="6160" width="3" style="9" customWidth="1"/>
    <col min="6161" max="6161" width="1.5" style="9" customWidth="1"/>
    <col min="6162" max="6162" width="6.875" style="9" customWidth="1"/>
    <col min="6163" max="6163" width="9.875" style="9" customWidth="1"/>
    <col min="6164" max="6164" width="10.625" style="9" customWidth="1"/>
    <col min="6165" max="6165" width="10" style="9" bestFit="1" customWidth="1"/>
    <col min="6166" max="6166" width="1.5" style="9" customWidth="1"/>
    <col min="6167" max="6167" width="2.5" style="9" bestFit="1" customWidth="1"/>
    <col min="6168" max="6169" width="4.125" style="9" customWidth="1"/>
    <col min="6170" max="6170" width="3" style="9" customWidth="1"/>
    <col min="6171" max="6400" width="11.5" style="9"/>
    <col min="6401" max="6401" width="1.5" style="9" customWidth="1"/>
    <col min="6402" max="6403" width="4.125" style="9" customWidth="1"/>
    <col min="6404" max="6404" width="1.5" style="9" customWidth="1"/>
    <col min="6405" max="6405" width="3" style="9" customWidth="1"/>
    <col min="6406" max="6406" width="1.5" style="9" customWidth="1"/>
    <col min="6407" max="6407" width="4.125" style="9" customWidth="1"/>
    <col min="6408" max="6408" width="2" style="9" customWidth="1"/>
    <col min="6409" max="6410" width="3" style="9" customWidth="1"/>
    <col min="6411" max="6412" width="1.5" style="9" customWidth="1"/>
    <col min="6413" max="6413" width="3" style="9" customWidth="1"/>
    <col min="6414" max="6414" width="1.5" style="9" customWidth="1"/>
    <col min="6415" max="6415" width="8.125" style="9" customWidth="1"/>
    <col min="6416" max="6416" width="3" style="9" customWidth="1"/>
    <col min="6417" max="6417" width="1.5" style="9" customWidth="1"/>
    <col min="6418" max="6418" width="6.875" style="9" customWidth="1"/>
    <col min="6419" max="6419" width="9.875" style="9" customWidth="1"/>
    <col min="6420" max="6420" width="10.625" style="9" customWidth="1"/>
    <col min="6421" max="6421" width="10" style="9" bestFit="1" customWidth="1"/>
    <col min="6422" max="6422" width="1.5" style="9" customWidth="1"/>
    <col min="6423" max="6423" width="2.5" style="9" bestFit="1" customWidth="1"/>
    <col min="6424" max="6425" width="4.125" style="9" customWidth="1"/>
    <col min="6426" max="6426" width="3" style="9" customWidth="1"/>
    <col min="6427" max="6656" width="11.5" style="9"/>
    <col min="6657" max="6657" width="1.5" style="9" customWidth="1"/>
    <col min="6658" max="6659" width="4.125" style="9" customWidth="1"/>
    <col min="6660" max="6660" width="1.5" style="9" customWidth="1"/>
    <col min="6661" max="6661" width="3" style="9" customWidth="1"/>
    <col min="6662" max="6662" width="1.5" style="9" customWidth="1"/>
    <col min="6663" max="6663" width="4.125" style="9" customWidth="1"/>
    <col min="6664" max="6664" width="2" style="9" customWidth="1"/>
    <col min="6665" max="6666" width="3" style="9" customWidth="1"/>
    <col min="6667" max="6668" width="1.5" style="9" customWidth="1"/>
    <col min="6669" max="6669" width="3" style="9" customWidth="1"/>
    <col min="6670" max="6670" width="1.5" style="9" customWidth="1"/>
    <col min="6671" max="6671" width="8.125" style="9" customWidth="1"/>
    <col min="6672" max="6672" width="3" style="9" customWidth="1"/>
    <col min="6673" max="6673" width="1.5" style="9" customWidth="1"/>
    <col min="6674" max="6674" width="6.875" style="9" customWidth="1"/>
    <col min="6675" max="6675" width="9.875" style="9" customWidth="1"/>
    <col min="6676" max="6676" width="10.625" style="9" customWidth="1"/>
    <col min="6677" max="6677" width="10" style="9" bestFit="1" customWidth="1"/>
    <col min="6678" max="6678" width="1.5" style="9" customWidth="1"/>
    <col min="6679" max="6679" width="2.5" style="9" bestFit="1" customWidth="1"/>
    <col min="6680" max="6681" width="4.125" style="9" customWidth="1"/>
    <col min="6682" max="6682" width="3" style="9" customWidth="1"/>
    <col min="6683" max="6912" width="11.5" style="9"/>
    <col min="6913" max="6913" width="1.5" style="9" customWidth="1"/>
    <col min="6914" max="6915" width="4.125" style="9" customWidth="1"/>
    <col min="6916" max="6916" width="1.5" style="9" customWidth="1"/>
    <col min="6917" max="6917" width="3" style="9" customWidth="1"/>
    <col min="6918" max="6918" width="1.5" style="9" customWidth="1"/>
    <col min="6919" max="6919" width="4.125" style="9" customWidth="1"/>
    <col min="6920" max="6920" width="2" style="9" customWidth="1"/>
    <col min="6921" max="6922" width="3" style="9" customWidth="1"/>
    <col min="6923" max="6924" width="1.5" style="9" customWidth="1"/>
    <col min="6925" max="6925" width="3" style="9" customWidth="1"/>
    <col min="6926" max="6926" width="1.5" style="9" customWidth="1"/>
    <col min="6927" max="6927" width="8.125" style="9" customWidth="1"/>
    <col min="6928" max="6928" width="3" style="9" customWidth="1"/>
    <col min="6929" max="6929" width="1.5" style="9" customWidth="1"/>
    <col min="6930" max="6930" width="6.875" style="9" customWidth="1"/>
    <col min="6931" max="6931" width="9.875" style="9" customWidth="1"/>
    <col min="6932" max="6932" width="10.625" style="9" customWidth="1"/>
    <col min="6933" max="6933" width="10" style="9" bestFit="1" customWidth="1"/>
    <col min="6934" max="6934" width="1.5" style="9" customWidth="1"/>
    <col min="6935" max="6935" width="2.5" style="9" bestFit="1" customWidth="1"/>
    <col min="6936" max="6937" width="4.125" style="9" customWidth="1"/>
    <col min="6938" max="6938" width="3" style="9" customWidth="1"/>
    <col min="6939" max="7168" width="11.5" style="9"/>
    <col min="7169" max="7169" width="1.5" style="9" customWidth="1"/>
    <col min="7170" max="7171" width="4.125" style="9" customWidth="1"/>
    <col min="7172" max="7172" width="1.5" style="9" customWidth="1"/>
    <col min="7173" max="7173" width="3" style="9" customWidth="1"/>
    <col min="7174" max="7174" width="1.5" style="9" customWidth="1"/>
    <col min="7175" max="7175" width="4.125" style="9" customWidth="1"/>
    <col min="7176" max="7176" width="2" style="9" customWidth="1"/>
    <col min="7177" max="7178" width="3" style="9" customWidth="1"/>
    <col min="7179" max="7180" width="1.5" style="9" customWidth="1"/>
    <col min="7181" max="7181" width="3" style="9" customWidth="1"/>
    <col min="7182" max="7182" width="1.5" style="9" customWidth="1"/>
    <col min="7183" max="7183" width="8.125" style="9" customWidth="1"/>
    <col min="7184" max="7184" width="3" style="9" customWidth="1"/>
    <col min="7185" max="7185" width="1.5" style="9" customWidth="1"/>
    <col min="7186" max="7186" width="6.875" style="9" customWidth="1"/>
    <col min="7187" max="7187" width="9.875" style="9" customWidth="1"/>
    <col min="7188" max="7188" width="10.625" style="9" customWidth="1"/>
    <col min="7189" max="7189" width="10" style="9" bestFit="1" customWidth="1"/>
    <col min="7190" max="7190" width="1.5" style="9" customWidth="1"/>
    <col min="7191" max="7191" width="2.5" style="9" bestFit="1" customWidth="1"/>
    <col min="7192" max="7193" width="4.125" style="9" customWidth="1"/>
    <col min="7194" max="7194" width="3" style="9" customWidth="1"/>
    <col min="7195" max="7424" width="11.5" style="9"/>
    <col min="7425" max="7425" width="1.5" style="9" customWidth="1"/>
    <col min="7426" max="7427" width="4.125" style="9" customWidth="1"/>
    <col min="7428" max="7428" width="1.5" style="9" customWidth="1"/>
    <col min="7429" max="7429" width="3" style="9" customWidth="1"/>
    <col min="7430" max="7430" width="1.5" style="9" customWidth="1"/>
    <col min="7431" max="7431" width="4.125" style="9" customWidth="1"/>
    <col min="7432" max="7432" width="2" style="9" customWidth="1"/>
    <col min="7433" max="7434" width="3" style="9" customWidth="1"/>
    <col min="7435" max="7436" width="1.5" style="9" customWidth="1"/>
    <col min="7437" max="7437" width="3" style="9" customWidth="1"/>
    <col min="7438" max="7438" width="1.5" style="9" customWidth="1"/>
    <col min="7439" max="7439" width="8.125" style="9" customWidth="1"/>
    <col min="7440" max="7440" width="3" style="9" customWidth="1"/>
    <col min="7441" max="7441" width="1.5" style="9" customWidth="1"/>
    <col min="7442" max="7442" width="6.875" style="9" customWidth="1"/>
    <col min="7443" max="7443" width="9.875" style="9" customWidth="1"/>
    <col min="7444" max="7444" width="10.625" style="9" customWidth="1"/>
    <col min="7445" max="7445" width="10" style="9" bestFit="1" customWidth="1"/>
    <col min="7446" max="7446" width="1.5" style="9" customWidth="1"/>
    <col min="7447" max="7447" width="2.5" style="9" bestFit="1" customWidth="1"/>
    <col min="7448" max="7449" width="4.125" style="9" customWidth="1"/>
    <col min="7450" max="7450" width="3" style="9" customWidth="1"/>
    <col min="7451" max="7680" width="11.5" style="9"/>
    <col min="7681" max="7681" width="1.5" style="9" customWidth="1"/>
    <col min="7682" max="7683" width="4.125" style="9" customWidth="1"/>
    <col min="7684" max="7684" width="1.5" style="9" customWidth="1"/>
    <col min="7685" max="7685" width="3" style="9" customWidth="1"/>
    <col min="7686" max="7686" width="1.5" style="9" customWidth="1"/>
    <col min="7687" max="7687" width="4.125" style="9" customWidth="1"/>
    <col min="7688" max="7688" width="2" style="9" customWidth="1"/>
    <col min="7689" max="7690" width="3" style="9" customWidth="1"/>
    <col min="7691" max="7692" width="1.5" style="9" customWidth="1"/>
    <col min="7693" max="7693" width="3" style="9" customWidth="1"/>
    <col min="7694" max="7694" width="1.5" style="9" customWidth="1"/>
    <col min="7695" max="7695" width="8.125" style="9" customWidth="1"/>
    <col min="7696" max="7696" width="3" style="9" customWidth="1"/>
    <col min="7697" max="7697" width="1.5" style="9" customWidth="1"/>
    <col min="7698" max="7698" width="6.875" style="9" customWidth="1"/>
    <col min="7699" max="7699" width="9.875" style="9" customWidth="1"/>
    <col min="7700" max="7700" width="10.625" style="9" customWidth="1"/>
    <col min="7701" max="7701" width="10" style="9" bestFit="1" customWidth="1"/>
    <col min="7702" max="7702" width="1.5" style="9" customWidth="1"/>
    <col min="7703" max="7703" width="2.5" style="9" bestFit="1" customWidth="1"/>
    <col min="7704" max="7705" width="4.125" style="9" customWidth="1"/>
    <col min="7706" max="7706" width="3" style="9" customWidth="1"/>
    <col min="7707" max="7936" width="11.5" style="9"/>
    <col min="7937" max="7937" width="1.5" style="9" customWidth="1"/>
    <col min="7938" max="7939" width="4.125" style="9" customWidth="1"/>
    <col min="7940" max="7940" width="1.5" style="9" customWidth="1"/>
    <col min="7941" max="7941" width="3" style="9" customWidth="1"/>
    <col min="7942" max="7942" width="1.5" style="9" customWidth="1"/>
    <col min="7943" max="7943" width="4.125" style="9" customWidth="1"/>
    <col min="7944" max="7944" width="2" style="9" customWidth="1"/>
    <col min="7945" max="7946" width="3" style="9" customWidth="1"/>
    <col min="7947" max="7948" width="1.5" style="9" customWidth="1"/>
    <col min="7949" max="7949" width="3" style="9" customWidth="1"/>
    <col min="7950" max="7950" width="1.5" style="9" customWidth="1"/>
    <col min="7951" max="7951" width="8.125" style="9" customWidth="1"/>
    <col min="7952" max="7952" width="3" style="9" customWidth="1"/>
    <col min="7953" max="7953" width="1.5" style="9" customWidth="1"/>
    <col min="7954" max="7954" width="6.875" style="9" customWidth="1"/>
    <col min="7955" max="7955" width="9.875" style="9" customWidth="1"/>
    <col min="7956" max="7956" width="10.625" style="9" customWidth="1"/>
    <col min="7957" max="7957" width="10" style="9" bestFit="1" customWidth="1"/>
    <col min="7958" max="7958" width="1.5" style="9" customWidth="1"/>
    <col min="7959" max="7959" width="2.5" style="9" bestFit="1" customWidth="1"/>
    <col min="7960" max="7961" width="4.125" style="9" customWidth="1"/>
    <col min="7962" max="7962" width="3" style="9" customWidth="1"/>
    <col min="7963" max="8192" width="11.5" style="9"/>
    <col min="8193" max="8193" width="1.5" style="9" customWidth="1"/>
    <col min="8194" max="8195" width="4.125" style="9" customWidth="1"/>
    <col min="8196" max="8196" width="1.5" style="9" customWidth="1"/>
    <col min="8197" max="8197" width="3" style="9" customWidth="1"/>
    <col min="8198" max="8198" width="1.5" style="9" customWidth="1"/>
    <col min="8199" max="8199" width="4.125" style="9" customWidth="1"/>
    <col min="8200" max="8200" width="2" style="9" customWidth="1"/>
    <col min="8201" max="8202" width="3" style="9" customWidth="1"/>
    <col min="8203" max="8204" width="1.5" style="9" customWidth="1"/>
    <col min="8205" max="8205" width="3" style="9" customWidth="1"/>
    <col min="8206" max="8206" width="1.5" style="9" customWidth="1"/>
    <col min="8207" max="8207" width="8.125" style="9" customWidth="1"/>
    <col min="8208" max="8208" width="3" style="9" customWidth="1"/>
    <col min="8209" max="8209" width="1.5" style="9" customWidth="1"/>
    <col min="8210" max="8210" width="6.875" style="9" customWidth="1"/>
    <col min="8211" max="8211" width="9.875" style="9" customWidth="1"/>
    <col min="8212" max="8212" width="10.625" style="9" customWidth="1"/>
    <col min="8213" max="8213" width="10" style="9" bestFit="1" customWidth="1"/>
    <col min="8214" max="8214" width="1.5" style="9" customWidth="1"/>
    <col min="8215" max="8215" width="2.5" style="9" bestFit="1" customWidth="1"/>
    <col min="8216" max="8217" width="4.125" style="9" customWidth="1"/>
    <col min="8218" max="8218" width="3" style="9" customWidth="1"/>
    <col min="8219" max="8448" width="11.5" style="9"/>
    <col min="8449" max="8449" width="1.5" style="9" customWidth="1"/>
    <col min="8450" max="8451" width="4.125" style="9" customWidth="1"/>
    <col min="8452" max="8452" width="1.5" style="9" customWidth="1"/>
    <col min="8453" max="8453" width="3" style="9" customWidth="1"/>
    <col min="8454" max="8454" width="1.5" style="9" customWidth="1"/>
    <col min="8455" max="8455" width="4.125" style="9" customWidth="1"/>
    <col min="8456" max="8456" width="2" style="9" customWidth="1"/>
    <col min="8457" max="8458" width="3" style="9" customWidth="1"/>
    <col min="8459" max="8460" width="1.5" style="9" customWidth="1"/>
    <col min="8461" max="8461" width="3" style="9" customWidth="1"/>
    <col min="8462" max="8462" width="1.5" style="9" customWidth="1"/>
    <col min="8463" max="8463" width="8.125" style="9" customWidth="1"/>
    <col min="8464" max="8464" width="3" style="9" customWidth="1"/>
    <col min="8465" max="8465" width="1.5" style="9" customWidth="1"/>
    <col min="8466" max="8466" width="6.875" style="9" customWidth="1"/>
    <col min="8467" max="8467" width="9.875" style="9" customWidth="1"/>
    <col min="8468" max="8468" width="10.625" style="9" customWidth="1"/>
    <col min="8469" max="8469" width="10" style="9" bestFit="1" customWidth="1"/>
    <col min="8470" max="8470" width="1.5" style="9" customWidth="1"/>
    <col min="8471" max="8471" width="2.5" style="9" bestFit="1" customWidth="1"/>
    <col min="8472" max="8473" width="4.125" style="9" customWidth="1"/>
    <col min="8474" max="8474" width="3" style="9" customWidth="1"/>
    <col min="8475" max="8704" width="11.5" style="9"/>
    <col min="8705" max="8705" width="1.5" style="9" customWidth="1"/>
    <col min="8706" max="8707" width="4.125" style="9" customWidth="1"/>
    <col min="8708" max="8708" width="1.5" style="9" customWidth="1"/>
    <col min="8709" max="8709" width="3" style="9" customWidth="1"/>
    <col min="8710" max="8710" width="1.5" style="9" customWidth="1"/>
    <col min="8711" max="8711" width="4.125" style="9" customWidth="1"/>
    <col min="8712" max="8712" width="2" style="9" customWidth="1"/>
    <col min="8713" max="8714" width="3" style="9" customWidth="1"/>
    <col min="8715" max="8716" width="1.5" style="9" customWidth="1"/>
    <col min="8717" max="8717" width="3" style="9" customWidth="1"/>
    <col min="8718" max="8718" width="1.5" style="9" customWidth="1"/>
    <col min="8719" max="8719" width="8.125" style="9" customWidth="1"/>
    <col min="8720" max="8720" width="3" style="9" customWidth="1"/>
    <col min="8721" max="8721" width="1.5" style="9" customWidth="1"/>
    <col min="8722" max="8722" width="6.875" style="9" customWidth="1"/>
    <col min="8723" max="8723" width="9.875" style="9" customWidth="1"/>
    <col min="8724" max="8724" width="10.625" style="9" customWidth="1"/>
    <col min="8725" max="8725" width="10" style="9" bestFit="1" customWidth="1"/>
    <col min="8726" max="8726" width="1.5" style="9" customWidth="1"/>
    <col min="8727" max="8727" width="2.5" style="9" bestFit="1" customWidth="1"/>
    <col min="8728" max="8729" width="4.125" style="9" customWidth="1"/>
    <col min="8730" max="8730" width="3" style="9" customWidth="1"/>
    <col min="8731" max="8960" width="11.5" style="9"/>
    <col min="8961" max="8961" width="1.5" style="9" customWidth="1"/>
    <col min="8962" max="8963" width="4.125" style="9" customWidth="1"/>
    <col min="8964" max="8964" width="1.5" style="9" customWidth="1"/>
    <col min="8965" max="8965" width="3" style="9" customWidth="1"/>
    <col min="8966" max="8966" width="1.5" style="9" customWidth="1"/>
    <col min="8967" max="8967" width="4.125" style="9" customWidth="1"/>
    <col min="8968" max="8968" width="2" style="9" customWidth="1"/>
    <col min="8969" max="8970" width="3" style="9" customWidth="1"/>
    <col min="8971" max="8972" width="1.5" style="9" customWidth="1"/>
    <col min="8973" max="8973" width="3" style="9" customWidth="1"/>
    <col min="8974" max="8974" width="1.5" style="9" customWidth="1"/>
    <col min="8975" max="8975" width="8.125" style="9" customWidth="1"/>
    <col min="8976" max="8976" width="3" style="9" customWidth="1"/>
    <col min="8977" max="8977" width="1.5" style="9" customWidth="1"/>
    <col min="8978" max="8978" width="6.875" style="9" customWidth="1"/>
    <col min="8979" max="8979" width="9.875" style="9" customWidth="1"/>
    <col min="8980" max="8980" width="10.625" style="9" customWidth="1"/>
    <col min="8981" max="8981" width="10" style="9" bestFit="1" customWidth="1"/>
    <col min="8982" max="8982" width="1.5" style="9" customWidth="1"/>
    <col min="8983" max="8983" width="2.5" style="9" bestFit="1" customWidth="1"/>
    <col min="8984" max="8985" width="4.125" style="9" customWidth="1"/>
    <col min="8986" max="8986" width="3" style="9" customWidth="1"/>
    <col min="8987" max="9216" width="11.5" style="9"/>
    <col min="9217" max="9217" width="1.5" style="9" customWidth="1"/>
    <col min="9218" max="9219" width="4.125" style="9" customWidth="1"/>
    <col min="9220" max="9220" width="1.5" style="9" customWidth="1"/>
    <col min="9221" max="9221" width="3" style="9" customWidth="1"/>
    <col min="9222" max="9222" width="1.5" style="9" customWidth="1"/>
    <col min="9223" max="9223" width="4.125" style="9" customWidth="1"/>
    <col min="9224" max="9224" width="2" style="9" customWidth="1"/>
    <col min="9225" max="9226" width="3" style="9" customWidth="1"/>
    <col min="9227" max="9228" width="1.5" style="9" customWidth="1"/>
    <col min="9229" max="9229" width="3" style="9" customWidth="1"/>
    <col min="9230" max="9230" width="1.5" style="9" customWidth="1"/>
    <col min="9231" max="9231" width="8.125" style="9" customWidth="1"/>
    <col min="9232" max="9232" width="3" style="9" customWidth="1"/>
    <col min="9233" max="9233" width="1.5" style="9" customWidth="1"/>
    <col min="9234" max="9234" width="6.875" style="9" customWidth="1"/>
    <col min="9235" max="9235" width="9.875" style="9" customWidth="1"/>
    <col min="9236" max="9236" width="10.625" style="9" customWidth="1"/>
    <col min="9237" max="9237" width="10" style="9" bestFit="1" customWidth="1"/>
    <col min="9238" max="9238" width="1.5" style="9" customWidth="1"/>
    <col min="9239" max="9239" width="2.5" style="9" bestFit="1" customWidth="1"/>
    <col min="9240" max="9241" width="4.125" style="9" customWidth="1"/>
    <col min="9242" max="9242" width="3" style="9" customWidth="1"/>
    <col min="9243" max="9472" width="11.5" style="9"/>
    <col min="9473" max="9473" width="1.5" style="9" customWidth="1"/>
    <col min="9474" max="9475" width="4.125" style="9" customWidth="1"/>
    <col min="9476" max="9476" width="1.5" style="9" customWidth="1"/>
    <col min="9477" max="9477" width="3" style="9" customWidth="1"/>
    <col min="9478" max="9478" width="1.5" style="9" customWidth="1"/>
    <col min="9479" max="9479" width="4.125" style="9" customWidth="1"/>
    <col min="9480" max="9480" width="2" style="9" customWidth="1"/>
    <col min="9481" max="9482" width="3" style="9" customWidth="1"/>
    <col min="9483" max="9484" width="1.5" style="9" customWidth="1"/>
    <col min="9485" max="9485" width="3" style="9" customWidth="1"/>
    <col min="9486" max="9486" width="1.5" style="9" customWidth="1"/>
    <col min="9487" max="9487" width="8.125" style="9" customWidth="1"/>
    <col min="9488" max="9488" width="3" style="9" customWidth="1"/>
    <col min="9489" max="9489" width="1.5" style="9" customWidth="1"/>
    <col min="9490" max="9490" width="6.875" style="9" customWidth="1"/>
    <col min="9491" max="9491" width="9.875" style="9" customWidth="1"/>
    <col min="9492" max="9492" width="10.625" style="9" customWidth="1"/>
    <col min="9493" max="9493" width="10" style="9" bestFit="1" customWidth="1"/>
    <col min="9494" max="9494" width="1.5" style="9" customWidth="1"/>
    <col min="9495" max="9495" width="2.5" style="9" bestFit="1" customWidth="1"/>
    <col min="9496" max="9497" width="4.125" style="9" customWidth="1"/>
    <col min="9498" max="9498" width="3" style="9" customWidth="1"/>
    <col min="9499" max="9728" width="11.5" style="9"/>
    <col min="9729" max="9729" width="1.5" style="9" customWidth="1"/>
    <col min="9730" max="9731" width="4.125" style="9" customWidth="1"/>
    <col min="9732" max="9732" width="1.5" style="9" customWidth="1"/>
    <col min="9733" max="9733" width="3" style="9" customWidth="1"/>
    <col min="9734" max="9734" width="1.5" style="9" customWidth="1"/>
    <col min="9735" max="9735" width="4.125" style="9" customWidth="1"/>
    <col min="9736" max="9736" width="2" style="9" customWidth="1"/>
    <col min="9737" max="9738" width="3" style="9" customWidth="1"/>
    <col min="9739" max="9740" width="1.5" style="9" customWidth="1"/>
    <col min="9741" max="9741" width="3" style="9" customWidth="1"/>
    <col min="9742" max="9742" width="1.5" style="9" customWidth="1"/>
    <col min="9743" max="9743" width="8.125" style="9" customWidth="1"/>
    <col min="9744" max="9744" width="3" style="9" customWidth="1"/>
    <col min="9745" max="9745" width="1.5" style="9" customWidth="1"/>
    <col min="9746" max="9746" width="6.875" style="9" customWidth="1"/>
    <col min="9747" max="9747" width="9.875" style="9" customWidth="1"/>
    <col min="9748" max="9748" width="10.625" style="9" customWidth="1"/>
    <col min="9749" max="9749" width="10" style="9" bestFit="1" customWidth="1"/>
    <col min="9750" max="9750" width="1.5" style="9" customWidth="1"/>
    <col min="9751" max="9751" width="2.5" style="9" bestFit="1" customWidth="1"/>
    <col min="9752" max="9753" width="4.125" style="9" customWidth="1"/>
    <col min="9754" max="9754" width="3" style="9" customWidth="1"/>
    <col min="9755" max="9984" width="11.5" style="9"/>
    <col min="9985" max="9985" width="1.5" style="9" customWidth="1"/>
    <col min="9986" max="9987" width="4.125" style="9" customWidth="1"/>
    <col min="9988" max="9988" width="1.5" style="9" customWidth="1"/>
    <col min="9989" max="9989" width="3" style="9" customWidth="1"/>
    <col min="9990" max="9990" width="1.5" style="9" customWidth="1"/>
    <col min="9991" max="9991" width="4.125" style="9" customWidth="1"/>
    <col min="9992" max="9992" width="2" style="9" customWidth="1"/>
    <col min="9993" max="9994" width="3" style="9" customWidth="1"/>
    <col min="9995" max="9996" width="1.5" style="9" customWidth="1"/>
    <col min="9997" max="9997" width="3" style="9" customWidth="1"/>
    <col min="9998" max="9998" width="1.5" style="9" customWidth="1"/>
    <col min="9999" max="9999" width="8.125" style="9" customWidth="1"/>
    <col min="10000" max="10000" width="3" style="9" customWidth="1"/>
    <col min="10001" max="10001" width="1.5" style="9" customWidth="1"/>
    <col min="10002" max="10002" width="6.875" style="9" customWidth="1"/>
    <col min="10003" max="10003" width="9.875" style="9" customWidth="1"/>
    <col min="10004" max="10004" width="10.625" style="9" customWidth="1"/>
    <col min="10005" max="10005" width="10" style="9" bestFit="1" customWidth="1"/>
    <col min="10006" max="10006" width="1.5" style="9" customWidth="1"/>
    <col min="10007" max="10007" width="2.5" style="9" bestFit="1" customWidth="1"/>
    <col min="10008" max="10009" width="4.125" style="9" customWidth="1"/>
    <col min="10010" max="10010" width="3" style="9" customWidth="1"/>
    <col min="10011" max="10240" width="11.5" style="9"/>
    <col min="10241" max="10241" width="1.5" style="9" customWidth="1"/>
    <col min="10242" max="10243" width="4.125" style="9" customWidth="1"/>
    <col min="10244" max="10244" width="1.5" style="9" customWidth="1"/>
    <col min="10245" max="10245" width="3" style="9" customWidth="1"/>
    <col min="10246" max="10246" width="1.5" style="9" customWidth="1"/>
    <col min="10247" max="10247" width="4.125" style="9" customWidth="1"/>
    <col min="10248" max="10248" width="2" style="9" customWidth="1"/>
    <col min="10249" max="10250" width="3" style="9" customWidth="1"/>
    <col min="10251" max="10252" width="1.5" style="9" customWidth="1"/>
    <col min="10253" max="10253" width="3" style="9" customWidth="1"/>
    <col min="10254" max="10254" width="1.5" style="9" customWidth="1"/>
    <col min="10255" max="10255" width="8.125" style="9" customWidth="1"/>
    <col min="10256" max="10256" width="3" style="9" customWidth="1"/>
    <col min="10257" max="10257" width="1.5" style="9" customWidth="1"/>
    <col min="10258" max="10258" width="6.875" style="9" customWidth="1"/>
    <col min="10259" max="10259" width="9.875" style="9" customWidth="1"/>
    <col min="10260" max="10260" width="10.625" style="9" customWidth="1"/>
    <col min="10261" max="10261" width="10" style="9" bestFit="1" customWidth="1"/>
    <col min="10262" max="10262" width="1.5" style="9" customWidth="1"/>
    <col min="10263" max="10263" width="2.5" style="9" bestFit="1" customWidth="1"/>
    <col min="10264" max="10265" width="4.125" style="9" customWidth="1"/>
    <col min="10266" max="10266" width="3" style="9" customWidth="1"/>
    <col min="10267" max="10496" width="11.5" style="9"/>
    <col min="10497" max="10497" width="1.5" style="9" customWidth="1"/>
    <col min="10498" max="10499" width="4.125" style="9" customWidth="1"/>
    <col min="10500" max="10500" width="1.5" style="9" customWidth="1"/>
    <col min="10501" max="10501" width="3" style="9" customWidth="1"/>
    <col min="10502" max="10502" width="1.5" style="9" customWidth="1"/>
    <col min="10503" max="10503" width="4.125" style="9" customWidth="1"/>
    <col min="10504" max="10504" width="2" style="9" customWidth="1"/>
    <col min="10505" max="10506" width="3" style="9" customWidth="1"/>
    <col min="10507" max="10508" width="1.5" style="9" customWidth="1"/>
    <col min="10509" max="10509" width="3" style="9" customWidth="1"/>
    <col min="10510" max="10510" width="1.5" style="9" customWidth="1"/>
    <col min="10511" max="10511" width="8.125" style="9" customWidth="1"/>
    <col min="10512" max="10512" width="3" style="9" customWidth="1"/>
    <col min="10513" max="10513" width="1.5" style="9" customWidth="1"/>
    <col min="10514" max="10514" width="6.875" style="9" customWidth="1"/>
    <col min="10515" max="10515" width="9.875" style="9" customWidth="1"/>
    <col min="10516" max="10516" width="10.625" style="9" customWidth="1"/>
    <col min="10517" max="10517" width="10" style="9" bestFit="1" customWidth="1"/>
    <col min="10518" max="10518" width="1.5" style="9" customWidth="1"/>
    <col min="10519" max="10519" width="2.5" style="9" bestFit="1" customWidth="1"/>
    <col min="10520" max="10521" width="4.125" style="9" customWidth="1"/>
    <col min="10522" max="10522" width="3" style="9" customWidth="1"/>
    <col min="10523" max="10752" width="11.5" style="9"/>
    <col min="10753" max="10753" width="1.5" style="9" customWidth="1"/>
    <col min="10754" max="10755" width="4.125" style="9" customWidth="1"/>
    <col min="10756" max="10756" width="1.5" style="9" customWidth="1"/>
    <col min="10757" max="10757" width="3" style="9" customWidth="1"/>
    <col min="10758" max="10758" width="1.5" style="9" customWidth="1"/>
    <col min="10759" max="10759" width="4.125" style="9" customWidth="1"/>
    <col min="10760" max="10760" width="2" style="9" customWidth="1"/>
    <col min="10761" max="10762" width="3" style="9" customWidth="1"/>
    <col min="10763" max="10764" width="1.5" style="9" customWidth="1"/>
    <col min="10765" max="10765" width="3" style="9" customWidth="1"/>
    <col min="10766" max="10766" width="1.5" style="9" customWidth="1"/>
    <col min="10767" max="10767" width="8.125" style="9" customWidth="1"/>
    <col min="10768" max="10768" width="3" style="9" customWidth="1"/>
    <col min="10769" max="10769" width="1.5" style="9" customWidth="1"/>
    <col min="10770" max="10770" width="6.875" style="9" customWidth="1"/>
    <col min="10771" max="10771" width="9.875" style="9" customWidth="1"/>
    <col min="10772" max="10772" width="10.625" style="9" customWidth="1"/>
    <col min="10773" max="10773" width="10" style="9" bestFit="1" customWidth="1"/>
    <col min="10774" max="10774" width="1.5" style="9" customWidth="1"/>
    <col min="10775" max="10775" width="2.5" style="9" bestFit="1" customWidth="1"/>
    <col min="10776" max="10777" width="4.125" style="9" customWidth="1"/>
    <col min="10778" max="10778" width="3" style="9" customWidth="1"/>
    <col min="10779" max="11008" width="11.5" style="9"/>
    <col min="11009" max="11009" width="1.5" style="9" customWidth="1"/>
    <col min="11010" max="11011" width="4.125" style="9" customWidth="1"/>
    <col min="11012" max="11012" width="1.5" style="9" customWidth="1"/>
    <col min="11013" max="11013" width="3" style="9" customWidth="1"/>
    <col min="11014" max="11014" width="1.5" style="9" customWidth="1"/>
    <col min="11015" max="11015" width="4.125" style="9" customWidth="1"/>
    <col min="11016" max="11016" width="2" style="9" customWidth="1"/>
    <col min="11017" max="11018" width="3" style="9" customWidth="1"/>
    <col min="11019" max="11020" width="1.5" style="9" customWidth="1"/>
    <col min="11021" max="11021" width="3" style="9" customWidth="1"/>
    <col min="11022" max="11022" width="1.5" style="9" customWidth="1"/>
    <col min="11023" max="11023" width="8.125" style="9" customWidth="1"/>
    <col min="11024" max="11024" width="3" style="9" customWidth="1"/>
    <col min="11025" max="11025" width="1.5" style="9" customWidth="1"/>
    <col min="11026" max="11026" width="6.875" style="9" customWidth="1"/>
    <col min="11027" max="11027" width="9.875" style="9" customWidth="1"/>
    <col min="11028" max="11028" width="10.625" style="9" customWidth="1"/>
    <col min="11029" max="11029" width="10" style="9" bestFit="1" customWidth="1"/>
    <col min="11030" max="11030" width="1.5" style="9" customWidth="1"/>
    <col min="11031" max="11031" width="2.5" style="9" bestFit="1" customWidth="1"/>
    <col min="11032" max="11033" width="4.125" style="9" customWidth="1"/>
    <col min="11034" max="11034" width="3" style="9" customWidth="1"/>
    <col min="11035" max="11264" width="11.5" style="9"/>
    <col min="11265" max="11265" width="1.5" style="9" customWidth="1"/>
    <col min="11266" max="11267" width="4.125" style="9" customWidth="1"/>
    <col min="11268" max="11268" width="1.5" style="9" customWidth="1"/>
    <col min="11269" max="11269" width="3" style="9" customWidth="1"/>
    <col min="11270" max="11270" width="1.5" style="9" customWidth="1"/>
    <col min="11271" max="11271" width="4.125" style="9" customWidth="1"/>
    <col min="11272" max="11272" width="2" style="9" customWidth="1"/>
    <col min="11273" max="11274" width="3" style="9" customWidth="1"/>
    <col min="11275" max="11276" width="1.5" style="9" customWidth="1"/>
    <col min="11277" max="11277" width="3" style="9" customWidth="1"/>
    <col min="11278" max="11278" width="1.5" style="9" customWidth="1"/>
    <col min="11279" max="11279" width="8.125" style="9" customWidth="1"/>
    <col min="11280" max="11280" width="3" style="9" customWidth="1"/>
    <col min="11281" max="11281" width="1.5" style="9" customWidth="1"/>
    <col min="11282" max="11282" width="6.875" style="9" customWidth="1"/>
    <col min="11283" max="11283" width="9.875" style="9" customWidth="1"/>
    <col min="11284" max="11284" width="10.625" style="9" customWidth="1"/>
    <col min="11285" max="11285" width="10" style="9" bestFit="1" customWidth="1"/>
    <col min="11286" max="11286" width="1.5" style="9" customWidth="1"/>
    <col min="11287" max="11287" width="2.5" style="9" bestFit="1" customWidth="1"/>
    <col min="11288" max="11289" width="4.125" style="9" customWidth="1"/>
    <col min="11290" max="11290" width="3" style="9" customWidth="1"/>
    <col min="11291" max="11520" width="11.5" style="9"/>
    <col min="11521" max="11521" width="1.5" style="9" customWidth="1"/>
    <col min="11522" max="11523" width="4.125" style="9" customWidth="1"/>
    <col min="11524" max="11524" width="1.5" style="9" customWidth="1"/>
    <col min="11525" max="11525" width="3" style="9" customWidth="1"/>
    <col min="11526" max="11526" width="1.5" style="9" customWidth="1"/>
    <col min="11527" max="11527" width="4.125" style="9" customWidth="1"/>
    <col min="11528" max="11528" width="2" style="9" customWidth="1"/>
    <col min="11529" max="11530" width="3" style="9" customWidth="1"/>
    <col min="11531" max="11532" width="1.5" style="9" customWidth="1"/>
    <col min="11533" max="11533" width="3" style="9" customWidth="1"/>
    <col min="11534" max="11534" width="1.5" style="9" customWidth="1"/>
    <col min="11535" max="11535" width="8.125" style="9" customWidth="1"/>
    <col min="11536" max="11536" width="3" style="9" customWidth="1"/>
    <col min="11537" max="11537" width="1.5" style="9" customWidth="1"/>
    <col min="11538" max="11538" width="6.875" style="9" customWidth="1"/>
    <col min="11539" max="11539" width="9.875" style="9" customWidth="1"/>
    <col min="11540" max="11540" width="10.625" style="9" customWidth="1"/>
    <col min="11541" max="11541" width="10" style="9" bestFit="1" customWidth="1"/>
    <col min="11542" max="11542" width="1.5" style="9" customWidth="1"/>
    <col min="11543" max="11543" width="2.5" style="9" bestFit="1" customWidth="1"/>
    <col min="11544" max="11545" width="4.125" style="9" customWidth="1"/>
    <col min="11546" max="11546" width="3" style="9" customWidth="1"/>
    <col min="11547" max="11776" width="11.5" style="9"/>
    <col min="11777" max="11777" width="1.5" style="9" customWidth="1"/>
    <col min="11778" max="11779" width="4.125" style="9" customWidth="1"/>
    <col min="11780" max="11780" width="1.5" style="9" customWidth="1"/>
    <col min="11781" max="11781" width="3" style="9" customWidth="1"/>
    <col min="11782" max="11782" width="1.5" style="9" customWidth="1"/>
    <col min="11783" max="11783" width="4.125" style="9" customWidth="1"/>
    <col min="11784" max="11784" width="2" style="9" customWidth="1"/>
    <col min="11785" max="11786" width="3" style="9" customWidth="1"/>
    <col min="11787" max="11788" width="1.5" style="9" customWidth="1"/>
    <col min="11789" max="11789" width="3" style="9" customWidth="1"/>
    <col min="11790" max="11790" width="1.5" style="9" customWidth="1"/>
    <col min="11791" max="11791" width="8.125" style="9" customWidth="1"/>
    <col min="11792" max="11792" width="3" style="9" customWidth="1"/>
    <col min="11793" max="11793" width="1.5" style="9" customWidth="1"/>
    <col min="11794" max="11794" width="6.875" style="9" customWidth="1"/>
    <col min="11795" max="11795" width="9.875" style="9" customWidth="1"/>
    <col min="11796" max="11796" width="10.625" style="9" customWidth="1"/>
    <col min="11797" max="11797" width="10" style="9" bestFit="1" customWidth="1"/>
    <col min="11798" max="11798" width="1.5" style="9" customWidth="1"/>
    <col min="11799" max="11799" width="2.5" style="9" bestFit="1" customWidth="1"/>
    <col min="11800" max="11801" width="4.125" style="9" customWidth="1"/>
    <col min="11802" max="11802" width="3" style="9" customWidth="1"/>
    <col min="11803" max="12032" width="11.5" style="9"/>
    <col min="12033" max="12033" width="1.5" style="9" customWidth="1"/>
    <col min="12034" max="12035" width="4.125" style="9" customWidth="1"/>
    <col min="12036" max="12036" width="1.5" style="9" customWidth="1"/>
    <col min="12037" max="12037" width="3" style="9" customWidth="1"/>
    <col min="12038" max="12038" width="1.5" style="9" customWidth="1"/>
    <col min="12039" max="12039" width="4.125" style="9" customWidth="1"/>
    <col min="12040" max="12040" width="2" style="9" customWidth="1"/>
    <col min="12041" max="12042" width="3" style="9" customWidth="1"/>
    <col min="12043" max="12044" width="1.5" style="9" customWidth="1"/>
    <col min="12045" max="12045" width="3" style="9" customWidth="1"/>
    <col min="12046" max="12046" width="1.5" style="9" customWidth="1"/>
    <col min="12047" max="12047" width="8.125" style="9" customWidth="1"/>
    <col min="12048" max="12048" width="3" style="9" customWidth="1"/>
    <col min="12049" max="12049" width="1.5" style="9" customWidth="1"/>
    <col min="12050" max="12050" width="6.875" style="9" customWidth="1"/>
    <col min="12051" max="12051" width="9.875" style="9" customWidth="1"/>
    <col min="12052" max="12052" width="10.625" style="9" customWidth="1"/>
    <col min="12053" max="12053" width="10" style="9" bestFit="1" customWidth="1"/>
    <col min="12054" max="12054" width="1.5" style="9" customWidth="1"/>
    <col min="12055" max="12055" width="2.5" style="9" bestFit="1" customWidth="1"/>
    <col min="12056" max="12057" width="4.125" style="9" customWidth="1"/>
    <col min="12058" max="12058" width="3" style="9" customWidth="1"/>
    <col min="12059" max="12288" width="11.5" style="9"/>
    <col min="12289" max="12289" width="1.5" style="9" customWidth="1"/>
    <col min="12290" max="12291" width="4.125" style="9" customWidth="1"/>
    <col min="12292" max="12292" width="1.5" style="9" customWidth="1"/>
    <col min="12293" max="12293" width="3" style="9" customWidth="1"/>
    <col min="12294" max="12294" width="1.5" style="9" customWidth="1"/>
    <col min="12295" max="12295" width="4.125" style="9" customWidth="1"/>
    <col min="12296" max="12296" width="2" style="9" customWidth="1"/>
    <col min="12297" max="12298" width="3" style="9" customWidth="1"/>
    <col min="12299" max="12300" width="1.5" style="9" customWidth="1"/>
    <col min="12301" max="12301" width="3" style="9" customWidth="1"/>
    <col min="12302" max="12302" width="1.5" style="9" customWidth="1"/>
    <col min="12303" max="12303" width="8.125" style="9" customWidth="1"/>
    <col min="12304" max="12304" width="3" style="9" customWidth="1"/>
    <col min="12305" max="12305" width="1.5" style="9" customWidth="1"/>
    <col min="12306" max="12306" width="6.875" style="9" customWidth="1"/>
    <col min="12307" max="12307" width="9.875" style="9" customWidth="1"/>
    <col min="12308" max="12308" width="10.625" style="9" customWidth="1"/>
    <col min="12309" max="12309" width="10" style="9" bestFit="1" customWidth="1"/>
    <col min="12310" max="12310" width="1.5" style="9" customWidth="1"/>
    <col min="12311" max="12311" width="2.5" style="9" bestFit="1" customWidth="1"/>
    <col min="12312" max="12313" width="4.125" style="9" customWidth="1"/>
    <col min="12314" max="12314" width="3" style="9" customWidth="1"/>
    <col min="12315" max="12544" width="11.5" style="9"/>
    <col min="12545" max="12545" width="1.5" style="9" customWidth="1"/>
    <col min="12546" max="12547" width="4.125" style="9" customWidth="1"/>
    <col min="12548" max="12548" width="1.5" style="9" customWidth="1"/>
    <col min="12549" max="12549" width="3" style="9" customWidth="1"/>
    <col min="12550" max="12550" width="1.5" style="9" customWidth="1"/>
    <col min="12551" max="12551" width="4.125" style="9" customWidth="1"/>
    <col min="12552" max="12552" width="2" style="9" customWidth="1"/>
    <col min="12553" max="12554" width="3" style="9" customWidth="1"/>
    <col min="12555" max="12556" width="1.5" style="9" customWidth="1"/>
    <col min="12557" max="12557" width="3" style="9" customWidth="1"/>
    <col min="12558" max="12558" width="1.5" style="9" customWidth="1"/>
    <col min="12559" max="12559" width="8.125" style="9" customWidth="1"/>
    <col min="12560" max="12560" width="3" style="9" customWidth="1"/>
    <col min="12561" max="12561" width="1.5" style="9" customWidth="1"/>
    <col min="12562" max="12562" width="6.875" style="9" customWidth="1"/>
    <col min="12563" max="12563" width="9.875" style="9" customWidth="1"/>
    <col min="12564" max="12564" width="10.625" style="9" customWidth="1"/>
    <col min="12565" max="12565" width="10" style="9" bestFit="1" customWidth="1"/>
    <col min="12566" max="12566" width="1.5" style="9" customWidth="1"/>
    <col min="12567" max="12567" width="2.5" style="9" bestFit="1" customWidth="1"/>
    <col min="12568" max="12569" width="4.125" style="9" customWidth="1"/>
    <col min="12570" max="12570" width="3" style="9" customWidth="1"/>
    <col min="12571" max="12800" width="11.5" style="9"/>
    <col min="12801" max="12801" width="1.5" style="9" customWidth="1"/>
    <col min="12802" max="12803" width="4.125" style="9" customWidth="1"/>
    <col min="12804" max="12804" width="1.5" style="9" customWidth="1"/>
    <col min="12805" max="12805" width="3" style="9" customWidth="1"/>
    <col min="12806" max="12806" width="1.5" style="9" customWidth="1"/>
    <col min="12807" max="12807" width="4.125" style="9" customWidth="1"/>
    <col min="12808" max="12808" width="2" style="9" customWidth="1"/>
    <col min="12809" max="12810" width="3" style="9" customWidth="1"/>
    <col min="12811" max="12812" width="1.5" style="9" customWidth="1"/>
    <col min="12813" max="12813" width="3" style="9" customWidth="1"/>
    <col min="12814" max="12814" width="1.5" style="9" customWidth="1"/>
    <col min="12815" max="12815" width="8.125" style="9" customWidth="1"/>
    <col min="12816" max="12816" width="3" style="9" customWidth="1"/>
    <col min="12817" max="12817" width="1.5" style="9" customWidth="1"/>
    <col min="12818" max="12818" width="6.875" style="9" customWidth="1"/>
    <col min="12819" max="12819" width="9.875" style="9" customWidth="1"/>
    <col min="12820" max="12820" width="10.625" style="9" customWidth="1"/>
    <col min="12821" max="12821" width="10" style="9" bestFit="1" customWidth="1"/>
    <col min="12822" max="12822" width="1.5" style="9" customWidth="1"/>
    <col min="12823" max="12823" width="2.5" style="9" bestFit="1" customWidth="1"/>
    <col min="12824" max="12825" width="4.125" style="9" customWidth="1"/>
    <col min="12826" max="12826" width="3" style="9" customWidth="1"/>
    <col min="12827" max="13056" width="11.5" style="9"/>
    <col min="13057" max="13057" width="1.5" style="9" customWidth="1"/>
    <col min="13058" max="13059" width="4.125" style="9" customWidth="1"/>
    <col min="13060" max="13060" width="1.5" style="9" customWidth="1"/>
    <col min="13061" max="13061" width="3" style="9" customWidth="1"/>
    <col min="13062" max="13062" width="1.5" style="9" customWidth="1"/>
    <col min="13063" max="13063" width="4.125" style="9" customWidth="1"/>
    <col min="13064" max="13064" width="2" style="9" customWidth="1"/>
    <col min="13065" max="13066" width="3" style="9" customWidth="1"/>
    <col min="13067" max="13068" width="1.5" style="9" customWidth="1"/>
    <col min="13069" max="13069" width="3" style="9" customWidth="1"/>
    <col min="13070" max="13070" width="1.5" style="9" customWidth="1"/>
    <col min="13071" max="13071" width="8.125" style="9" customWidth="1"/>
    <col min="13072" max="13072" width="3" style="9" customWidth="1"/>
    <col min="13073" max="13073" width="1.5" style="9" customWidth="1"/>
    <col min="13074" max="13074" width="6.875" style="9" customWidth="1"/>
    <col min="13075" max="13075" width="9.875" style="9" customWidth="1"/>
    <col min="13076" max="13076" width="10.625" style="9" customWidth="1"/>
    <col min="13077" max="13077" width="10" style="9" bestFit="1" customWidth="1"/>
    <col min="13078" max="13078" width="1.5" style="9" customWidth="1"/>
    <col min="13079" max="13079" width="2.5" style="9" bestFit="1" customWidth="1"/>
    <col min="13080" max="13081" width="4.125" style="9" customWidth="1"/>
    <col min="13082" max="13082" width="3" style="9" customWidth="1"/>
    <col min="13083" max="13312" width="11.5" style="9"/>
    <col min="13313" max="13313" width="1.5" style="9" customWidth="1"/>
    <col min="13314" max="13315" width="4.125" style="9" customWidth="1"/>
    <col min="13316" max="13316" width="1.5" style="9" customWidth="1"/>
    <col min="13317" max="13317" width="3" style="9" customWidth="1"/>
    <col min="13318" max="13318" width="1.5" style="9" customWidth="1"/>
    <col min="13319" max="13319" width="4.125" style="9" customWidth="1"/>
    <col min="13320" max="13320" width="2" style="9" customWidth="1"/>
    <col min="13321" max="13322" width="3" style="9" customWidth="1"/>
    <col min="13323" max="13324" width="1.5" style="9" customWidth="1"/>
    <col min="13325" max="13325" width="3" style="9" customWidth="1"/>
    <col min="13326" max="13326" width="1.5" style="9" customWidth="1"/>
    <col min="13327" max="13327" width="8.125" style="9" customWidth="1"/>
    <col min="13328" max="13328" width="3" style="9" customWidth="1"/>
    <col min="13329" max="13329" width="1.5" style="9" customWidth="1"/>
    <col min="13330" max="13330" width="6.875" style="9" customWidth="1"/>
    <col min="13331" max="13331" width="9.875" style="9" customWidth="1"/>
    <col min="13332" max="13332" width="10.625" style="9" customWidth="1"/>
    <col min="13333" max="13333" width="10" style="9" bestFit="1" customWidth="1"/>
    <col min="13334" max="13334" width="1.5" style="9" customWidth="1"/>
    <col min="13335" max="13335" width="2.5" style="9" bestFit="1" customWidth="1"/>
    <col min="13336" max="13337" width="4.125" style="9" customWidth="1"/>
    <col min="13338" max="13338" width="3" style="9" customWidth="1"/>
    <col min="13339" max="13568" width="11.5" style="9"/>
    <col min="13569" max="13569" width="1.5" style="9" customWidth="1"/>
    <col min="13570" max="13571" width="4.125" style="9" customWidth="1"/>
    <col min="13572" max="13572" width="1.5" style="9" customWidth="1"/>
    <col min="13573" max="13573" width="3" style="9" customWidth="1"/>
    <col min="13574" max="13574" width="1.5" style="9" customWidth="1"/>
    <col min="13575" max="13575" width="4.125" style="9" customWidth="1"/>
    <col min="13576" max="13576" width="2" style="9" customWidth="1"/>
    <col min="13577" max="13578" width="3" style="9" customWidth="1"/>
    <col min="13579" max="13580" width="1.5" style="9" customWidth="1"/>
    <col min="13581" max="13581" width="3" style="9" customWidth="1"/>
    <col min="13582" max="13582" width="1.5" style="9" customWidth="1"/>
    <col min="13583" max="13583" width="8.125" style="9" customWidth="1"/>
    <col min="13584" max="13584" width="3" style="9" customWidth="1"/>
    <col min="13585" max="13585" width="1.5" style="9" customWidth="1"/>
    <col min="13586" max="13586" width="6.875" style="9" customWidth="1"/>
    <col min="13587" max="13587" width="9.875" style="9" customWidth="1"/>
    <col min="13588" max="13588" width="10.625" style="9" customWidth="1"/>
    <col min="13589" max="13589" width="10" style="9" bestFit="1" customWidth="1"/>
    <col min="13590" max="13590" width="1.5" style="9" customWidth="1"/>
    <col min="13591" max="13591" width="2.5" style="9" bestFit="1" customWidth="1"/>
    <col min="13592" max="13593" width="4.125" style="9" customWidth="1"/>
    <col min="13594" max="13594" width="3" style="9" customWidth="1"/>
    <col min="13595" max="13824" width="11.5" style="9"/>
    <col min="13825" max="13825" width="1.5" style="9" customWidth="1"/>
    <col min="13826" max="13827" width="4.125" style="9" customWidth="1"/>
    <col min="13828" max="13828" width="1.5" style="9" customWidth="1"/>
    <col min="13829" max="13829" width="3" style="9" customWidth="1"/>
    <col min="13830" max="13830" width="1.5" style="9" customWidth="1"/>
    <col min="13831" max="13831" width="4.125" style="9" customWidth="1"/>
    <col min="13832" max="13832" width="2" style="9" customWidth="1"/>
    <col min="13833" max="13834" width="3" style="9" customWidth="1"/>
    <col min="13835" max="13836" width="1.5" style="9" customWidth="1"/>
    <col min="13837" max="13837" width="3" style="9" customWidth="1"/>
    <col min="13838" max="13838" width="1.5" style="9" customWidth="1"/>
    <col min="13839" max="13839" width="8.125" style="9" customWidth="1"/>
    <col min="13840" max="13840" width="3" style="9" customWidth="1"/>
    <col min="13841" max="13841" width="1.5" style="9" customWidth="1"/>
    <col min="13842" max="13842" width="6.875" style="9" customWidth="1"/>
    <col min="13843" max="13843" width="9.875" style="9" customWidth="1"/>
    <col min="13844" max="13844" width="10.625" style="9" customWidth="1"/>
    <col min="13845" max="13845" width="10" style="9" bestFit="1" customWidth="1"/>
    <col min="13846" max="13846" width="1.5" style="9" customWidth="1"/>
    <col min="13847" max="13847" width="2.5" style="9" bestFit="1" customWidth="1"/>
    <col min="13848" max="13849" width="4.125" style="9" customWidth="1"/>
    <col min="13850" max="13850" width="3" style="9" customWidth="1"/>
    <col min="13851" max="14080" width="11.5" style="9"/>
    <col min="14081" max="14081" width="1.5" style="9" customWidth="1"/>
    <col min="14082" max="14083" width="4.125" style="9" customWidth="1"/>
    <col min="14084" max="14084" width="1.5" style="9" customWidth="1"/>
    <col min="14085" max="14085" width="3" style="9" customWidth="1"/>
    <col min="14086" max="14086" width="1.5" style="9" customWidth="1"/>
    <col min="14087" max="14087" width="4.125" style="9" customWidth="1"/>
    <col min="14088" max="14088" width="2" style="9" customWidth="1"/>
    <col min="14089" max="14090" width="3" style="9" customWidth="1"/>
    <col min="14091" max="14092" width="1.5" style="9" customWidth="1"/>
    <col min="14093" max="14093" width="3" style="9" customWidth="1"/>
    <col min="14094" max="14094" width="1.5" style="9" customWidth="1"/>
    <col min="14095" max="14095" width="8.125" style="9" customWidth="1"/>
    <col min="14096" max="14096" width="3" style="9" customWidth="1"/>
    <col min="14097" max="14097" width="1.5" style="9" customWidth="1"/>
    <col min="14098" max="14098" width="6.875" style="9" customWidth="1"/>
    <col min="14099" max="14099" width="9.875" style="9" customWidth="1"/>
    <col min="14100" max="14100" width="10.625" style="9" customWidth="1"/>
    <col min="14101" max="14101" width="10" style="9" bestFit="1" customWidth="1"/>
    <col min="14102" max="14102" width="1.5" style="9" customWidth="1"/>
    <col min="14103" max="14103" width="2.5" style="9" bestFit="1" customWidth="1"/>
    <col min="14104" max="14105" width="4.125" style="9" customWidth="1"/>
    <col min="14106" max="14106" width="3" style="9" customWidth="1"/>
    <col min="14107" max="14336" width="11.5" style="9"/>
    <col min="14337" max="14337" width="1.5" style="9" customWidth="1"/>
    <col min="14338" max="14339" width="4.125" style="9" customWidth="1"/>
    <col min="14340" max="14340" width="1.5" style="9" customWidth="1"/>
    <col min="14341" max="14341" width="3" style="9" customWidth="1"/>
    <col min="14342" max="14342" width="1.5" style="9" customWidth="1"/>
    <col min="14343" max="14343" width="4.125" style="9" customWidth="1"/>
    <col min="14344" max="14344" width="2" style="9" customWidth="1"/>
    <col min="14345" max="14346" width="3" style="9" customWidth="1"/>
    <col min="14347" max="14348" width="1.5" style="9" customWidth="1"/>
    <col min="14349" max="14349" width="3" style="9" customWidth="1"/>
    <col min="14350" max="14350" width="1.5" style="9" customWidth="1"/>
    <col min="14351" max="14351" width="8.125" style="9" customWidth="1"/>
    <col min="14352" max="14352" width="3" style="9" customWidth="1"/>
    <col min="14353" max="14353" width="1.5" style="9" customWidth="1"/>
    <col min="14354" max="14354" width="6.875" style="9" customWidth="1"/>
    <col min="14355" max="14355" width="9.875" style="9" customWidth="1"/>
    <col min="14356" max="14356" width="10.625" style="9" customWidth="1"/>
    <col min="14357" max="14357" width="10" style="9" bestFit="1" customWidth="1"/>
    <col min="14358" max="14358" width="1.5" style="9" customWidth="1"/>
    <col min="14359" max="14359" width="2.5" style="9" bestFit="1" customWidth="1"/>
    <col min="14360" max="14361" width="4.125" style="9" customWidth="1"/>
    <col min="14362" max="14362" width="3" style="9" customWidth="1"/>
    <col min="14363" max="14592" width="11.5" style="9"/>
    <col min="14593" max="14593" width="1.5" style="9" customWidth="1"/>
    <col min="14594" max="14595" width="4.125" style="9" customWidth="1"/>
    <col min="14596" max="14596" width="1.5" style="9" customWidth="1"/>
    <col min="14597" max="14597" width="3" style="9" customWidth="1"/>
    <col min="14598" max="14598" width="1.5" style="9" customWidth="1"/>
    <col min="14599" max="14599" width="4.125" style="9" customWidth="1"/>
    <col min="14600" max="14600" width="2" style="9" customWidth="1"/>
    <col min="14601" max="14602" width="3" style="9" customWidth="1"/>
    <col min="14603" max="14604" width="1.5" style="9" customWidth="1"/>
    <col min="14605" max="14605" width="3" style="9" customWidth="1"/>
    <col min="14606" max="14606" width="1.5" style="9" customWidth="1"/>
    <col min="14607" max="14607" width="8.125" style="9" customWidth="1"/>
    <col min="14608" max="14608" width="3" style="9" customWidth="1"/>
    <col min="14609" max="14609" width="1.5" style="9" customWidth="1"/>
    <col min="14610" max="14610" width="6.875" style="9" customWidth="1"/>
    <col min="14611" max="14611" width="9.875" style="9" customWidth="1"/>
    <col min="14612" max="14612" width="10.625" style="9" customWidth="1"/>
    <col min="14613" max="14613" width="10" style="9" bestFit="1" customWidth="1"/>
    <col min="14614" max="14614" width="1.5" style="9" customWidth="1"/>
    <col min="14615" max="14615" width="2.5" style="9" bestFit="1" customWidth="1"/>
    <col min="14616" max="14617" width="4.125" style="9" customWidth="1"/>
    <col min="14618" max="14618" width="3" style="9" customWidth="1"/>
    <col min="14619" max="14848" width="11.5" style="9"/>
    <col min="14849" max="14849" width="1.5" style="9" customWidth="1"/>
    <col min="14850" max="14851" width="4.125" style="9" customWidth="1"/>
    <col min="14852" max="14852" width="1.5" style="9" customWidth="1"/>
    <col min="14853" max="14853" width="3" style="9" customWidth="1"/>
    <col min="14854" max="14854" width="1.5" style="9" customWidth="1"/>
    <col min="14855" max="14855" width="4.125" style="9" customWidth="1"/>
    <col min="14856" max="14856" width="2" style="9" customWidth="1"/>
    <col min="14857" max="14858" width="3" style="9" customWidth="1"/>
    <col min="14859" max="14860" width="1.5" style="9" customWidth="1"/>
    <col min="14861" max="14861" width="3" style="9" customWidth="1"/>
    <col min="14862" max="14862" width="1.5" style="9" customWidth="1"/>
    <col min="14863" max="14863" width="8.125" style="9" customWidth="1"/>
    <col min="14864" max="14864" width="3" style="9" customWidth="1"/>
    <col min="14865" max="14865" width="1.5" style="9" customWidth="1"/>
    <col min="14866" max="14866" width="6.875" style="9" customWidth="1"/>
    <col min="14867" max="14867" width="9.875" style="9" customWidth="1"/>
    <col min="14868" max="14868" width="10.625" style="9" customWidth="1"/>
    <col min="14869" max="14869" width="10" style="9" bestFit="1" customWidth="1"/>
    <col min="14870" max="14870" width="1.5" style="9" customWidth="1"/>
    <col min="14871" max="14871" width="2.5" style="9" bestFit="1" customWidth="1"/>
    <col min="14872" max="14873" width="4.125" style="9" customWidth="1"/>
    <col min="14874" max="14874" width="3" style="9" customWidth="1"/>
    <col min="14875" max="15104" width="11.5" style="9"/>
    <col min="15105" max="15105" width="1.5" style="9" customWidth="1"/>
    <col min="15106" max="15107" width="4.125" style="9" customWidth="1"/>
    <col min="15108" max="15108" width="1.5" style="9" customWidth="1"/>
    <col min="15109" max="15109" width="3" style="9" customWidth="1"/>
    <col min="15110" max="15110" width="1.5" style="9" customWidth="1"/>
    <col min="15111" max="15111" width="4.125" style="9" customWidth="1"/>
    <col min="15112" max="15112" width="2" style="9" customWidth="1"/>
    <col min="15113" max="15114" width="3" style="9" customWidth="1"/>
    <col min="15115" max="15116" width="1.5" style="9" customWidth="1"/>
    <col min="15117" max="15117" width="3" style="9" customWidth="1"/>
    <col min="15118" max="15118" width="1.5" style="9" customWidth="1"/>
    <col min="15119" max="15119" width="8.125" style="9" customWidth="1"/>
    <col min="15120" max="15120" width="3" style="9" customWidth="1"/>
    <col min="15121" max="15121" width="1.5" style="9" customWidth="1"/>
    <col min="15122" max="15122" width="6.875" style="9" customWidth="1"/>
    <col min="15123" max="15123" width="9.875" style="9" customWidth="1"/>
    <col min="15124" max="15124" width="10.625" style="9" customWidth="1"/>
    <col min="15125" max="15125" width="10" style="9" bestFit="1" customWidth="1"/>
    <col min="15126" max="15126" width="1.5" style="9" customWidth="1"/>
    <col min="15127" max="15127" width="2.5" style="9" bestFit="1" customWidth="1"/>
    <col min="15128" max="15129" width="4.125" style="9" customWidth="1"/>
    <col min="15130" max="15130" width="3" style="9" customWidth="1"/>
    <col min="15131" max="15360" width="11.5" style="9"/>
    <col min="15361" max="15361" width="1.5" style="9" customWidth="1"/>
    <col min="15362" max="15363" width="4.125" style="9" customWidth="1"/>
    <col min="15364" max="15364" width="1.5" style="9" customWidth="1"/>
    <col min="15365" max="15365" width="3" style="9" customWidth="1"/>
    <col min="15366" max="15366" width="1.5" style="9" customWidth="1"/>
    <col min="15367" max="15367" width="4.125" style="9" customWidth="1"/>
    <col min="15368" max="15368" width="2" style="9" customWidth="1"/>
    <col min="15369" max="15370" width="3" style="9" customWidth="1"/>
    <col min="15371" max="15372" width="1.5" style="9" customWidth="1"/>
    <col min="15373" max="15373" width="3" style="9" customWidth="1"/>
    <col min="15374" max="15374" width="1.5" style="9" customWidth="1"/>
    <col min="15375" max="15375" width="8.125" style="9" customWidth="1"/>
    <col min="15376" max="15376" width="3" style="9" customWidth="1"/>
    <col min="15377" max="15377" width="1.5" style="9" customWidth="1"/>
    <col min="15378" max="15378" width="6.875" style="9" customWidth="1"/>
    <col min="15379" max="15379" width="9.875" style="9" customWidth="1"/>
    <col min="15380" max="15380" width="10.625" style="9" customWidth="1"/>
    <col min="15381" max="15381" width="10" style="9" bestFit="1" customWidth="1"/>
    <col min="15382" max="15382" width="1.5" style="9" customWidth="1"/>
    <col min="15383" max="15383" width="2.5" style="9" bestFit="1" customWidth="1"/>
    <col min="15384" max="15385" width="4.125" style="9" customWidth="1"/>
    <col min="15386" max="15386" width="3" style="9" customWidth="1"/>
    <col min="15387" max="15616" width="11.5" style="9"/>
    <col min="15617" max="15617" width="1.5" style="9" customWidth="1"/>
    <col min="15618" max="15619" width="4.125" style="9" customWidth="1"/>
    <col min="15620" max="15620" width="1.5" style="9" customWidth="1"/>
    <col min="15621" max="15621" width="3" style="9" customWidth="1"/>
    <col min="15622" max="15622" width="1.5" style="9" customWidth="1"/>
    <col min="15623" max="15623" width="4.125" style="9" customWidth="1"/>
    <col min="15624" max="15624" width="2" style="9" customWidth="1"/>
    <col min="15625" max="15626" width="3" style="9" customWidth="1"/>
    <col min="15627" max="15628" width="1.5" style="9" customWidth="1"/>
    <col min="15629" max="15629" width="3" style="9" customWidth="1"/>
    <col min="15630" max="15630" width="1.5" style="9" customWidth="1"/>
    <col min="15631" max="15631" width="8.125" style="9" customWidth="1"/>
    <col min="15632" max="15632" width="3" style="9" customWidth="1"/>
    <col min="15633" max="15633" width="1.5" style="9" customWidth="1"/>
    <col min="15634" max="15634" width="6.875" style="9" customWidth="1"/>
    <col min="15635" max="15635" width="9.875" style="9" customWidth="1"/>
    <col min="15636" max="15636" width="10.625" style="9" customWidth="1"/>
    <col min="15637" max="15637" width="10" style="9" bestFit="1" customWidth="1"/>
    <col min="15638" max="15638" width="1.5" style="9" customWidth="1"/>
    <col min="15639" max="15639" width="2.5" style="9" bestFit="1" customWidth="1"/>
    <col min="15640" max="15641" width="4.125" style="9" customWidth="1"/>
    <col min="15642" max="15642" width="3" style="9" customWidth="1"/>
    <col min="15643" max="15872" width="11.5" style="9"/>
    <col min="15873" max="15873" width="1.5" style="9" customWidth="1"/>
    <col min="15874" max="15875" width="4.125" style="9" customWidth="1"/>
    <col min="15876" max="15876" width="1.5" style="9" customWidth="1"/>
    <col min="15877" max="15877" width="3" style="9" customWidth="1"/>
    <col min="15878" max="15878" width="1.5" style="9" customWidth="1"/>
    <col min="15879" max="15879" width="4.125" style="9" customWidth="1"/>
    <col min="15880" max="15880" width="2" style="9" customWidth="1"/>
    <col min="15881" max="15882" width="3" style="9" customWidth="1"/>
    <col min="15883" max="15884" width="1.5" style="9" customWidth="1"/>
    <col min="15885" max="15885" width="3" style="9" customWidth="1"/>
    <col min="15886" max="15886" width="1.5" style="9" customWidth="1"/>
    <col min="15887" max="15887" width="8.125" style="9" customWidth="1"/>
    <col min="15888" max="15888" width="3" style="9" customWidth="1"/>
    <col min="15889" max="15889" width="1.5" style="9" customWidth="1"/>
    <col min="15890" max="15890" width="6.875" style="9" customWidth="1"/>
    <col min="15891" max="15891" width="9.875" style="9" customWidth="1"/>
    <col min="15892" max="15892" width="10.625" style="9" customWidth="1"/>
    <col min="15893" max="15893" width="10" style="9" bestFit="1" customWidth="1"/>
    <col min="15894" max="15894" width="1.5" style="9" customWidth="1"/>
    <col min="15895" max="15895" width="2.5" style="9" bestFit="1" customWidth="1"/>
    <col min="15896" max="15897" width="4.125" style="9" customWidth="1"/>
    <col min="15898" max="15898" width="3" style="9" customWidth="1"/>
    <col min="15899" max="16128" width="11.5" style="9"/>
    <col min="16129" max="16129" width="1.5" style="9" customWidth="1"/>
    <col min="16130" max="16131" width="4.125" style="9" customWidth="1"/>
    <col min="16132" max="16132" width="1.5" style="9" customWidth="1"/>
    <col min="16133" max="16133" width="3" style="9" customWidth="1"/>
    <col min="16134" max="16134" width="1.5" style="9" customWidth="1"/>
    <col min="16135" max="16135" width="4.125" style="9" customWidth="1"/>
    <col min="16136" max="16136" width="2" style="9" customWidth="1"/>
    <col min="16137" max="16138" width="3" style="9" customWidth="1"/>
    <col min="16139" max="16140" width="1.5" style="9" customWidth="1"/>
    <col min="16141" max="16141" width="3" style="9" customWidth="1"/>
    <col min="16142" max="16142" width="1.5" style="9" customWidth="1"/>
    <col min="16143" max="16143" width="8.125" style="9" customWidth="1"/>
    <col min="16144" max="16144" width="3" style="9" customWidth="1"/>
    <col min="16145" max="16145" width="1.5" style="9" customWidth="1"/>
    <col min="16146" max="16146" width="6.875" style="9" customWidth="1"/>
    <col min="16147" max="16147" width="9.875" style="9" customWidth="1"/>
    <col min="16148" max="16148" width="10.625" style="9" customWidth="1"/>
    <col min="16149" max="16149" width="10" style="9" bestFit="1" customWidth="1"/>
    <col min="16150" max="16150" width="1.5" style="9" customWidth="1"/>
    <col min="16151" max="16151" width="2.5" style="9" bestFit="1" customWidth="1"/>
    <col min="16152" max="16153" width="4.125" style="9" customWidth="1"/>
    <col min="16154" max="16154" width="3" style="9" customWidth="1"/>
    <col min="16155" max="16384" width="11.5" style="9"/>
  </cols>
  <sheetData>
    <row r="1" spans="1:26" ht="18" customHeight="1" x14ac:dyDescent="0.25">
      <c r="A1" s="7"/>
      <c r="B1" s="7"/>
      <c r="C1" s="7"/>
      <c r="D1" s="7"/>
      <c r="E1" s="7"/>
      <c r="F1" s="7"/>
      <c r="G1" s="7"/>
      <c r="H1" s="8"/>
      <c r="I1" s="8"/>
      <c r="J1" s="98" t="s">
        <v>130</v>
      </c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ht="18" customHeight="1" x14ac:dyDescent="0.2">
      <c r="A2" s="10"/>
      <c r="B2" s="10"/>
      <c r="C2" s="10"/>
      <c r="D2" s="10"/>
      <c r="E2" s="10"/>
      <c r="F2" s="10"/>
      <c r="G2" s="10"/>
      <c r="H2" s="8"/>
      <c r="I2" s="8"/>
      <c r="J2" s="98" t="s">
        <v>161</v>
      </c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ht="18" customHeight="1" x14ac:dyDescent="0.25">
      <c r="A3" s="11"/>
      <c r="B3" s="11"/>
      <c r="C3" s="11"/>
      <c r="D3" s="11"/>
      <c r="E3" s="11"/>
      <c r="F3" s="11"/>
      <c r="G3" s="11"/>
      <c r="H3" s="8"/>
      <c r="I3" s="8"/>
      <c r="J3" s="99" t="s">
        <v>162</v>
      </c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ht="9.1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V4" s="12"/>
      <c r="W4" s="12"/>
      <c r="X4" s="12"/>
      <c r="Y4" s="12"/>
      <c r="Z4" s="12"/>
    </row>
    <row r="5" spans="1:26" s="15" customFormat="1" ht="9.8000000000000007" customHeight="1" x14ac:dyDescent="0.2">
      <c r="A5" s="81" t="s">
        <v>131</v>
      </c>
      <c r="B5" s="81"/>
      <c r="C5" s="81"/>
      <c r="D5" s="81"/>
      <c r="E5" s="81"/>
      <c r="F5" s="8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00" t="s">
        <v>132</v>
      </c>
      <c r="U5" s="100"/>
      <c r="V5" s="101"/>
      <c r="W5" s="101"/>
      <c r="X5" s="101"/>
      <c r="Y5" s="101"/>
      <c r="Z5" s="14"/>
    </row>
    <row r="6" spans="1:26" s="15" customFormat="1" ht="11.95" customHeigh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14"/>
    </row>
    <row r="7" spans="1:26" ht="15" customHeight="1" x14ac:dyDescent="0.2">
      <c r="A7" s="81" t="s">
        <v>163</v>
      </c>
      <c r="B7" s="81"/>
      <c r="C7" s="81"/>
      <c r="D7" s="81"/>
      <c r="E7" s="81"/>
      <c r="F7" s="81"/>
      <c r="G7" s="81"/>
      <c r="H7" s="81"/>
      <c r="I7" s="81"/>
      <c r="J7" s="81"/>
      <c r="K7" s="93"/>
      <c r="L7" s="93"/>
      <c r="M7" s="93"/>
      <c r="N7" s="93"/>
      <c r="O7" s="93"/>
      <c r="P7" s="93"/>
      <c r="Q7" s="93"/>
      <c r="R7" s="93"/>
      <c r="S7" s="93"/>
      <c r="T7" s="82" t="s">
        <v>133</v>
      </c>
      <c r="U7" s="82"/>
      <c r="V7" s="94"/>
      <c r="W7" s="95"/>
      <c r="X7" s="16"/>
      <c r="Y7" s="17"/>
      <c r="Z7" s="12"/>
    </row>
    <row r="8" spans="1:26" ht="9.1" customHeight="1" x14ac:dyDescent="0.2">
      <c r="A8" s="18"/>
      <c r="B8" s="18"/>
      <c r="C8" s="18"/>
      <c r="D8" s="18"/>
      <c r="E8" s="18"/>
      <c r="F8" s="18"/>
      <c r="G8" s="18"/>
      <c r="H8" s="18"/>
      <c r="I8" s="19"/>
      <c r="J8" s="19"/>
      <c r="K8" s="96" t="s">
        <v>134</v>
      </c>
      <c r="L8" s="96"/>
      <c r="M8" s="96"/>
      <c r="N8" s="96"/>
      <c r="O8" s="96"/>
      <c r="P8" s="96"/>
      <c r="Q8" s="96"/>
      <c r="R8" s="96"/>
      <c r="S8" s="96"/>
      <c r="T8" s="20"/>
      <c r="U8" s="20"/>
      <c r="V8" s="97" t="s">
        <v>135</v>
      </c>
      <c r="W8" s="97"/>
      <c r="X8" s="21" t="s">
        <v>136</v>
      </c>
      <c r="Y8" s="21" t="s">
        <v>137</v>
      </c>
      <c r="Z8" s="12"/>
    </row>
    <row r="9" spans="1:26" ht="20.2" customHeight="1" x14ac:dyDescent="0.2">
      <c r="A9" s="81" t="s">
        <v>138</v>
      </c>
      <c r="B9" s="81"/>
      <c r="C9" s="81"/>
      <c r="D9" s="81"/>
      <c r="E9" s="81"/>
      <c r="F9" s="81"/>
      <c r="G9" s="81"/>
      <c r="H9" s="81"/>
      <c r="I9" s="81"/>
      <c r="J9" s="22"/>
      <c r="K9" s="22"/>
      <c r="L9" s="22"/>
      <c r="M9" s="22"/>
      <c r="N9" s="22"/>
      <c r="O9" s="22"/>
      <c r="P9" s="22"/>
      <c r="Q9" s="22"/>
      <c r="R9" s="22"/>
      <c r="S9" s="22"/>
      <c r="T9" s="82" t="s">
        <v>139</v>
      </c>
      <c r="U9" s="82"/>
      <c r="V9" s="83"/>
      <c r="W9" s="83"/>
      <c r="X9" s="83"/>
      <c r="Y9" s="83"/>
      <c r="Z9" s="12"/>
    </row>
    <row r="10" spans="1:26" ht="8.25" customHeight="1" x14ac:dyDescent="0.2">
      <c r="A10" s="18"/>
      <c r="B10" s="18"/>
      <c r="C10" s="18"/>
      <c r="D10" s="18"/>
      <c r="E10" s="18"/>
      <c r="F10" s="18"/>
      <c r="G10" s="18"/>
      <c r="H10" s="18"/>
      <c r="I10" s="19"/>
      <c r="J10" s="19"/>
      <c r="K10" s="19"/>
      <c r="L10" s="19"/>
      <c r="M10" s="19"/>
      <c r="N10" s="23"/>
      <c r="O10" s="23"/>
      <c r="P10" s="23"/>
      <c r="Q10" s="23"/>
      <c r="R10" s="24"/>
      <c r="S10" s="24"/>
      <c r="T10" s="12"/>
      <c r="U10" s="84" t="s">
        <v>164</v>
      </c>
      <c r="V10" s="84"/>
      <c r="W10" s="84"/>
      <c r="X10" s="84"/>
      <c r="Y10" s="84"/>
      <c r="Z10" s="25"/>
    </row>
    <row r="11" spans="1:26" ht="9.8000000000000007" customHeigh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26"/>
      <c r="K11" s="27"/>
      <c r="L11" s="27"/>
      <c r="M11" s="27"/>
      <c r="N11" s="27"/>
      <c r="O11" s="27"/>
      <c r="P11" s="27"/>
      <c r="Q11" s="27"/>
      <c r="R11" s="27"/>
      <c r="S11" s="27"/>
      <c r="T11" s="28"/>
      <c r="U11" s="84"/>
      <c r="V11" s="84"/>
      <c r="W11" s="84"/>
      <c r="X11" s="84"/>
      <c r="Y11" s="84"/>
      <c r="Z11" s="25"/>
    </row>
    <row r="12" spans="1:26" ht="7.6" customHeight="1" thickBo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30"/>
      <c r="X12" s="30"/>
      <c r="Y12" s="30"/>
      <c r="Z12" s="30"/>
    </row>
    <row r="13" spans="1:26" ht="13.5" thickTop="1" x14ac:dyDescent="0.2">
      <c r="A13" s="86" t="s">
        <v>165</v>
      </c>
      <c r="B13" s="87"/>
      <c r="C13" s="87" t="s">
        <v>140</v>
      </c>
      <c r="D13" s="87"/>
      <c r="E13" s="87"/>
      <c r="F13" s="87"/>
      <c r="G13" s="87"/>
      <c r="H13" s="87"/>
      <c r="I13" s="87" t="s">
        <v>166</v>
      </c>
      <c r="J13" s="87"/>
      <c r="K13" s="87"/>
      <c r="L13" s="87"/>
      <c r="M13" s="87"/>
      <c r="N13" s="87"/>
      <c r="O13" s="87"/>
      <c r="P13" s="87"/>
      <c r="Q13" s="87"/>
      <c r="R13" s="87" t="s">
        <v>167</v>
      </c>
      <c r="S13" s="87" t="s">
        <v>141</v>
      </c>
      <c r="T13" s="87"/>
      <c r="U13" s="87"/>
      <c r="V13" s="87" t="s">
        <v>142</v>
      </c>
      <c r="W13" s="87"/>
      <c r="X13" s="87"/>
      <c r="Y13" s="87"/>
      <c r="Z13" s="90"/>
    </row>
    <row r="14" spans="1:26" x14ac:dyDescent="0.2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31" t="s">
        <v>143</v>
      </c>
      <c r="T14" s="31" t="s">
        <v>144</v>
      </c>
      <c r="U14" s="31" t="s">
        <v>145</v>
      </c>
      <c r="V14" s="89"/>
      <c r="W14" s="89"/>
      <c r="X14" s="89"/>
      <c r="Y14" s="89"/>
      <c r="Z14" s="91"/>
    </row>
    <row r="15" spans="1:26" ht="20.05" customHeight="1" x14ac:dyDescent="0.2">
      <c r="A15" s="75">
        <v>1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32"/>
      <c r="S15" s="32"/>
      <c r="T15" s="32"/>
      <c r="U15" s="32"/>
      <c r="V15" s="78"/>
      <c r="W15" s="79"/>
      <c r="X15" s="79"/>
      <c r="Y15" s="79"/>
      <c r="Z15" s="80"/>
    </row>
    <row r="16" spans="1:26" ht="20.05" customHeight="1" x14ac:dyDescent="0.2">
      <c r="A16" s="70">
        <v>2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33"/>
      <c r="S16" s="33"/>
      <c r="T16" s="33"/>
      <c r="U16" s="33"/>
      <c r="V16" s="73"/>
      <c r="W16" s="73"/>
      <c r="X16" s="73"/>
      <c r="Y16" s="73"/>
      <c r="Z16" s="74"/>
    </row>
    <row r="17" spans="1:26" ht="20.05" customHeight="1" x14ac:dyDescent="0.2">
      <c r="A17" s="70">
        <v>3</v>
      </c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33"/>
      <c r="S17" s="33"/>
      <c r="T17" s="33"/>
      <c r="U17" s="33"/>
      <c r="V17" s="73"/>
      <c r="W17" s="73"/>
      <c r="X17" s="73"/>
      <c r="Y17" s="73"/>
      <c r="Z17" s="74"/>
    </row>
    <row r="18" spans="1:26" ht="20.05" customHeight="1" x14ac:dyDescent="0.2">
      <c r="A18" s="70">
        <v>4</v>
      </c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33"/>
      <c r="S18" s="33"/>
      <c r="T18" s="33"/>
      <c r="U18" s="33"/>
      <c r="V18" s="73"/>
      <c r="W18" s="73"/>
      <c r="X18" s="73"/>
      <c r="Y18" s="73"/>
      <c r="Z18" s="74"/>
    </row>
    <row r="19" spans="1:26" ht="20.05" customHeight="1" x14ac:dyDescent="0.2">
      <c r="A19" s="70">
        <v>5</v>
      </c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33"/>
      <c r="S19" s="33"/>
      <c r="T19" s="33"/>
      <c r="U19" s="33"/>
      <c r="V19" s="73"/>
      <c r="W19" s="73"/>
      <c r="X19" s="73"/>
      <c r="Y19" s="73"/>
      <c r="Z19" s="74"/>
    </row>
    <row r="20" spans="1:26" ht="20.05" customHeight="1" x14ac:dyDescent="0.2">
      <c r="A20" s="70">
        <v>6</v>
      </c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33"/>
      <c r="S20" s="33"/>
      <c r="T20" s="33"/>
      <c r="U20" s="33"/>
      <c r="V20" s="73"/>
      <c r="W20" s="73"/>
      <c r="X20" s="73"/>
      <c r="Y20" s="73"/>
      <c r="Z20" s="74"/>
    </row>
    <row r="21" spans="1:26" ht="20.05" customHeight="1" x14ac:dyDescent="0.2">
      <c r="A21" s="70">
        <v>7</v>
      </c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33"/>
      <c r="S21" s="33"/>
      <c r="T21" s="33"/>
      <c r="U21" s="33"/>
      <c r="V21" s="73"/>
      <c r="W21" s="73"/>
      <c r="X21" s="73"/>
      <c r="Y21" s="73"/>
      <c r="Z21" s="74"/>
    </row>
    <row r="22" spans="1:26" ht="20.05" customHeight="1" x14ac:dyDescent="0.2">
      <c r="A22" s="70">
        <v>8</v>
      </c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33"/>
      <c r="S22" s="33"/>
      <c r="T22" s="33"/>
      <c r="U22" s="33"/>
      <c r="V22" s="73"/>
      <c r="W22" s="73"/>
      <c r="X22" s="73"/>
      <c r="Y22" s="73"/>
      <c r="Z22" s="74"/>
    </row>
    <row r="23" spans="1:26" ht="20.05" customHeight="1" x14ac:dyDescent="0.2">
      <c r="A23" s="70">
        <v>9</v>
      </c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33"/>
      <c r="S23" s="33"/>
      <c r="T23" s="33"/>
      <c r="U23" s="33"/>
      <c r="V23" s="73"/>
      <c r="W23" s="73"/>
      <c r="X23" s="73"/>
      <c r="Y23" s="73"/>
      <c r="Z23" s="74"/>
    </row>
    <row r="24" spans="1:26" ht="20.05" customHeight="1" x14ac:dyDescent="0.2">
      <c r="A24" s="70">
        <v>10</v>
      </c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33"/>
      <c r="S24" s="33"/>
      <c r="T24" s="33"/>
      <c r="U24" s="33"/>
      <c r="V24" s="73"/>
      <c r="W24" s="73"/>
      <c r="X24" s="73"/>
      <c r="Y24" s="73"/>
      <c r="Z24" s="74"/>
    </row>
    <row r="25" spans="1:26" ht="20.05" customHeight="1" x14ac:dyDescent="0.2">
      <c r="A25" s="70">
        <v>11</v>
      </c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33"/>
      <c r="S25" s="33"/>
      <c r="T25" s="33"/>
      <c r="U25" s="33"/>
      <c r="V25" s="73"/>
      <c r="W25" s="73"/>
      <c r="X25" s="73"/>
      <c r="Y25" s="73"/>
      <c r="Z25" s="74"/>
    </row>
    <row r="26" spans="1:26" ht="20.05" customHeight="1" x14ac:dyDescent="0.2">
      <c r="A26" s="70">
        <v>12</v>
      </c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33"/>
      <c r="S26" s="33"/>
      <c r="T26" s="33"/>
      <c r="U26" s="33"/>
      <c r="V26" s="73"/>
      <c r="W26" s="73"/>
      <c r="X26" s="73"/>
      <c r="Y26" s="73"/>
      <c r="Z26" s="74"/>
    </row>
    <row r="27" spans="1:26" ht="20.05" customHeight="1" x14ac:dyDescent="0.2">
      <c r="A27" s="70">
        <v>13</v>
      </c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33"/>
      <c r="S27" s="33"/>
      <c r="T27" s="33"/>
      <c r="U27" s="33"/>
      <c r="V27" s="73"/>
      <c r="W27" s="73"/>
      <c r="X27" s="73"/>
      <c r="Y27" s="73"/>
      <c r="Z27" s="74"/>
    </row>
    <row r="28" spans="1:26" ht="20.05" customHeight="1" x14ac:dyDescent="0.2">
      <c r="A28" s="70">
        <v>14</v>
      </c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33"/>
      <c r="S28" s="33"/>
      <c r="T28" s="33"/>
      <c r="U28" s="33"/>
      <c r="V28" s="73"/>
      <c r="W28" s="73"/>
      <c r="X28" s="73"/>
      <c r="Y28" s="73"/>
      <c r="Z28" s="74"/>
    </row>
    <row r="29" spans="1:26" ht="20.05" customHeight="1" x14ac:dyDescent="0.2">
      <c r="A29" s="70">
        <v>15</v>
      </c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33"/>
      <c r="S29" s="33"/>
      <c r="T29" s="33"/>
      <c r="U29" s="33"/>
      <c r="V29" s="73"/>
      <c r="W29" s="73"/>
      <c r="X29" s="73"/>
      <c r="Y29" s="73"/>
      <c r="Z29" s="74"/>
    </row>
    <row r="30" spans="1:26" ht="20.05" customHeight="1" x14ac:dyDescent="0.2">
      <c r="A30" s="70">
        <v>16</v>
      </c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33"/>
      <c r="S30" s="33"/>
      <c r="T30" s="33"/>
      <c r="U30" s="33"/>
      <c r="V30" s="73"/>
      <c r="W30" s="73"/>
      <c r="X30" s="73"/>
      <c r="Y30" s="73"/>
      <c r="Z30" s="74"/>
    </row>
    <row r="31" spans="1:26" ht="20.05" customHeight="1" x14ac:dyDescent="0.2">
      <c r="A31" s="70">
        <v>17</v>
      </c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33"/>
      <c r="S31" s="33"/>
      <c r="T31" s="33"/>
      <c r="U31" s="33"/>
      <c r="V31" s="73"/>
      <c r="W31" s="73"/>
      <c r="X31" s="73"/>
      <c r="Y31" s="73"/>
      <c r="Z31" s="74"/>
    </row>
    <row r="32" spans="1:26" ht="20.05" customHeight="1" x14ac:dyDescent="0.2">
      <c r="A32" s="70">
        <v>18</v>
      </c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33"/>
      <c r="S32" s="33"/>
      <c r="T32" s="33"/>
      <c r="U32" s="33"/>
      <c r="V32" s="73"/>
      <c r="W32" s="73"/>
      <c r="X32" s="73"/>
      <c r="Y32" s="73"/>
      <c r="Z32" s="74"/>
    </row>
    <row r="33" spans="1:26" ht="20.05" customHeight="1" x14ac:dyDescent="0.2">
      <c r="A33" s="70">
        <v>19</v>
      </c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33"/>
      <c r="S33" s="33"/>
      <c r="T33" s="33"/>
      <c r="U33" s="33"/>
      <c r="V33" s="73"/>
      <c r="W33" s="73"/>
      <c r="X33" s="73"/>
      <c r="Y33" s="73"/>
      <c r="Z33" s="74"/>
    </row>
    <row r="34" spans="1:26" ht="20.05" customHeight="1" x14ac:dyDescent="0.2">
      <c r="A34" s="70">
        <v>20</v>
      </c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33"/>
      <c r="S34" s="33"/>
      <c r="T34" s="33"/>
      <c r="U34" s="33"/>
      <c r="V34" s="73"/>
      <c r="W34" s="73"/>
      <c r="X34" s="73"/>
      <c r="Y34" s="73"/>
      <c r="Z34" s="74"/>
    </row>
    <row r="35" spans="1:26" ht="20.05" customHeight="1" thickBot="1" x14ac:dyDescent="0.25">
      <c r="A35" s="65">
        <v>21</v>
      </c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34"/>
      <c r="S35" s="34"/>
      <c r="T35" s="34"/>
      <c r="U35" s="34"/>
      <c r="V35" s="68"/>
      <c r="W35" s="68"/>
      <c r="X35" s="68"/>
      <c r="Y35" s="68"/>
      <c r="Z35" s="69"/>
    </row>
    <row r="36" spans="1:26" ht="20.05" customHeight="1" thickTop="1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27"/>
      <c r="S36" s="27"/>
      <c r="T36" s="27"/>
      <c r="U36" s="27"/>
      <c r="V36" s="57"/>
      <c r="W36" s="57"/>
      <c r="X36" s="57"/>
      <c r="Y36" s="57"/>
      <c r="Z36" s="57"/>
    </row>
    <row r="37" spans="1:26" ht="20.05" customHeight="1" x14ac:dyDescent="0.2">
      <c r="A37" s="35" t="s">
        <v>168</v>
      </c>
      <c r="B37" s="35"/>
      <c r="C37" s="35"/>
      <c r="D37" s="35"/>
      <c r="E37" s="35"/>
      <c r="F37" s="35"/>
      <c r="G37" s="35"/>
      <c r="H37" s="35"/>
      <c r="I37" s="35"/>
      <c r="J37" s="59"/>
      <c r="K37" s="59"/>
      <c r="L37" s="59"/>
      <c r="M37" s="59"/>
      <c r="N37" s="59"/>
      <c r="O37" s="59"/>
      <c r="P37" s="59"/>
      <c r="Q37" s="36"/>
      <c r="R37" s="35" t="s">
        <v>169</v>
      </c>
      <c r="S37" s="27"/>
      <c r="T37" s="60"/>
      <c r="U37" s="60"/>
      <c r="V37" s="57"/>
      <c r="W37" s="57"/>
      <c r="X37" s="57"/>
      <c r="Y37" s="57"/>
      <c r="Z37" s="57"/>
    </row>
    <row r="38" spans="1:26" ht="20.05" customHeight="1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27"/>
      <c r="S38" s="27"/>
      <c r="T38" s="27"/>
      <c r="U38" s="27"/>
      <c r="V38" s="57"/>
      <c r="W38" s="57"/>
      <c r="X38" s="57"/>
      <c r="Y38" s="57"/>
      <c r="Z38" s="57"/>
    </row>
    <row r="39" spans="1:26" ht="9.8000000000000007" customHeight="1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27"/>
      <c r="S39" s="27"/>
      <c r="T39" s="27"/>
      <c r="U39" s="27"/>
      <c r="V39" s="57"/>
      <c r="W39" s="57"/>
      <c r="X39" s="57"/>
      <c r="Y39" s="57"/>
      <c r="Z39" s="57"/>
    </row>
    <row r="40" spans="1:26" ht="19.55" customHeight="1" x14ac:dyDescent="0.2">
      <c r="A40" s="26"/>
      <c r="B40" s="63" t="s">
        <v>170</v>
      </c>
      <c r="C40" s="63"/>
      <c r="D40" s="63"/>
      <c r="E40" s="63"/>
      <c r="F40" s="63"/>
      <c r="G40" s="63"/>
      <c r="H40" s="63"/>
      <c r="I40" s="63"/>
      <c r="J40" s="35"/>
      <c r="K40" s="35"/>
      <c r="L40" s="35"/>
      <c r="M40" s="35"/>
      <c r="N40" s="64" t="s">
        <v>171</v>
      </c>
      <c r="O40" s="64"/>
      <c r="P40" s="64"/>
      <c r="Q40" s="64"/>
      <c r="R40" s="64"/>
      <c r="S40" s="64"/>
      <c r="T40" s="35"/>
      <c r="U40" s="63" t="s">
        <v>172</v>
      </c>
      <c r="V40" s="63"/>
      <c r="W40" s="63"/>
      <c r="X40" s="63"/>
      <c r="Y40" s="63"/>
      <c r="Z40" s="63"/>
    </row>
    <row r="41" spans="1:26" ht="20.05" customHeight="1" x14ac:dyDescent="0.2">
      <c r="A41" s="26"/>
      <c r="B41" s="2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20.05" customHeight="1" x14ac:dyDescent="0.2">
      <c r="A42" s="26"/>
      <c r="B42" s="58"/>
      <c r="C42" s="58"/>
      <c r="D42" s="58"/>
      <c r="E42" s="58"/>
      <c r="F42" s="58"/>
      <c r="G42" s="58"/>
      <c r="H42" s="58"/>
      <c r="I42" s="58"/>
      <c r="J42" s="35"/>
      <c r="K42" s="35"/>
      <c r="L42" s="35"/>
      <c r="M42" s="35"/>
      <c r="N42" s="59"/>
      <c r="O42" s="59"/>
      <c r="P42" s="59"/>
      <c r="Q42" s="59"/>
      <c r="R42" s="59"/>
      <c r="S42" s="59"/>
      <c r="T42" s="27"/>
      <c r="U42" s="60"/>
      <c r="V42" s="60"/>
      <c r="W42" s="60"/>
      <c r="X42" s="60"/>
      <c r="Y42" s="60"/>
      <c r="Z42" s="60"/>
    </row>
    <row r="43" spans="1:26" s="39" customFormat="1" ht="29.3" customHeight="1" x14ac:dyDescent="0.2">
      <c r="A43" s="26"/>
      <c r="B43" s="61" t="s">
        <v>173</v>
      </c>
      <c r="C43" s="61"/>
      <c r="D43" s="61"/>
      <c r="E43" s="61"/>
      <c r="F43" s="61"/>
      <c r="G43" s="61"/>
      <c r="H43" s="61"/>
      <c r="I43" s="61"/>
      <c r="J43" s="37"/>
      <c r="K43" s="37"/>
      <c r="L43" s="37"/>
      <c r="M43" s="37"/>
      <c r="N43" s="62" t="s">
        <v>174</v>
      </c>
      <c r="O43" s="62"/>
      <c r="P43" s="62"/>
      <c r="Q43" s="62"/>
      <c r="R43" s="62"/>
      <c r="S43" s="62"/>
      <c r="T43" s="38"/>
      <c r="U43" s="62" t="s">
        <v>175</v>
      </c>
      <c r="V43" s="62"/>
      <c r="W43" s="62"/>
      <c r="X43" s="62"/>
      <c r="Y43" s="62"/>
      <c r="Z43" s="62"/>
    </row>
    <row r="44" spans="1:26" ht="27.8" customHeight="1" x14ac:dyDescent="0.2">
      <c r="A44" s="26"/>
      <c r="B44" s="26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23.25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O45" s="37"/>
      <c r="P45" s="37"/>
      <c r="Q45" s="37"/>
      <c r="R45" s="37"/>
      <c r="S45" s="37"/>
      <c r="T45" s="27"/>
      <c r="U45" s="27"/>
      <c r="V45" s="27"/>
      <c r="W45" s="27"/>
      <c r="X45" s="27"/>
      <c r="Y45" s="27"/>
      <c r="Z45" s="27"/>
    </row>
    <row r="46" spans="1:26" ht="29.95" customHeigh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35"/>
      <c r="O46" s="35"/>
      <c r="P46" s="35"/>
      <c r="Q46" s="35"/>
      <c r="R46" s="35"/>
      <c r="S46" s="35"/>
      <c r="T46" s="27"/>
      <c r="U46" s="27"/>
      <c r="V46" s="27"/>
      <c r="W46" s="27"/>
      <c r="X46" s="27"/>
      <c r="Y46" s="27"/>
      <c r="Z46" s="27"/>
    </row>
    <row r="47" spans="1:26" ht="27.1" customHeigh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O47" s="37"/>
      <c r="P47" s="37"/>
      <c r="Q47" s="37"/>
      <c r="R47" s="37"/>
      <c r="S47" s="37"/>
      <c r="T47" s="35"/>
      <c r="U47" s="27"/>
      <c r="V47" s="27"/>
      <c r="W47" s="27"/>
      <c r="X47" s="27"/>
      <c r="Y47" s="27"/>
      <c r="Z47" s="27"/>
    </row>
    <row r="48" spans="1:26" ht="20.0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27"/>
      <c r="S48" s="27"/>
      <c r="T48" s="27"/>
      <c r="U48" s="27"/>
      <c r="V48" s="57"/>
      <c r="W48" s="57"/>
      <c r="X48" s="57"/>
      <c r="Y48" s="57"/>
      <c r="Z48" s="57"/>
    </row>
    <row r="49" spans="1:26" ht="20.0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27"/>
      <c r="S49" s="27"/>
      <c r="T49" s="27"/>
      <c r="U49" s="27"/>
      <c r="V49" s="57"/>
      <c r="W49" s="57"/>
      <c r="X49" s="57"/>
      <c r="Y49" s="57"/>
      <c r="Z49" s="57"/>
    </row>
  </sheetData>
  <mergeCells count="140">
    <mergeCell ref="A6:Y6"/>
    <mergeCell ref="A7:J7"/>
    <mergeCell ref="K7:S7"/>
    <mergeCell ref="T7:U7"/>
    <mergeCell ref="V7:W7"/>
    <mergeCell ref="K8:S8"/>
    <mergeCell ref="V8:W8"/>
    <mergeCell ref="J1:Z1"/>
    <mergeCell ref="J2:Z2"/>
    <mergeCell ref="J3:Z3"/>
    <mergeCell ref="A5:F5"/>
    <mergeCell ref="T5:U5"/>
    <mergeCell ref="V5:Y5"/>
    <mergeCell ref="A9:I9"/>
    <mergeCell ref="T9:U9"/>
    <mergeCell ref="V9:Y9"/>
    <mergeCell ref="U10:Y11"/>
    <mergeCell ref="A11:I11"/>
    <mergeCell ref="A13:B14"/>
    <mergeCell ref="C13:H14"/>
    <mergeCell ref="I13:Q14"/>
    <mergeCell ref="R13:R14"/>
    <mergeCell ref="S13:U13"/>
    <mergeCell ref="V13:Z14"/>
    <mergeCell ref="A15:B15"/>
    <mergeCell ref="C15:H15"/>
    <mergeCell ref="I15:Q15"/>
    <mergeCell ref="V15:Z15"/>
    <mergeCell ref="A16:B16"/>
    <mergeCell ref="C16:H16"/>
    <mergeCell ref="I16:Q16"/>
    <mergeCell ref="V16:Z16"/>
    <mergeCell ref="A19:B19"/>
    <mergeCell ref="C19:H19"/>
    <mergeCell ref="I19:Q19"/>
    <mergeCell ref="V19:Z19"/>
    <mergeCell ref="A20:B20"/>
    <mergeCell ref="C20:H20"/>
    <mergeCell ref="I20:Q20"/>
    <mergeCell ref="V20:Z20"/>
    <mergeCell ref="A17:B17"/>
    <mergeCell ref="C17:H17"/>
    <mergeCell ref="I17:Q17"/>
    <mergeCell ref="V17:Z17"/>
    <mergeCell ref="A18:B18"/>
    <mergeCell ref="C18:H18"/>
    <mergeCell ref="I18:Q18"/>
    <mergeCell ref="V18:Z18"/>
    <mergeCell ref="A23:B23"/>
    <mergeCell ref="C23:H23"/>
    <mergeCell ref="I23:Q23"/>
    <mergeCell ref="V23:Z23"/>
    <mergeCell ref="A24:B24"/>
    <mergeCell ref="C24:H24"/>
    <mergeCell ref="I24:Q24"/>
    <mergeCell ref="V24:Z24"/>
    <mergeCell ref="A21:B21"/>
    <mergeCell ref="C21:H21"/>
    <mergeCell ref="I21:Q21"/>
    <mergeCell ref="V21:Z21"/>
    <mergeCell ref="A22:B22"/>
    <mergeCell ref="C22:H22"/>
    <mergeCell ref="I22:Q22"/>
    <mergeCell ref="V22:Z22"/>
    <mergeCell ref="A27:B27"/>
    <mergeCell ref="C27:H27"/>
    <mergeCell ref="I27:Q27"/>
    <mergeCell ref="V27:Z27"/>
    <mergeCell ref="A28:B28"/>
    <mergeCell ref="C28:H28"/>
    <mergeCell ref="I28:Q28"/>
    <mergeCell ref="V28:Z28"/>
    <mergeCell ref="A25:B25"/>
    <mergeCell ref="C25:H25"/>
    <mergeCell ref="I25:Q25"/>
    <mergeCell ref="V25:Z25"/>
    <mergeCell ref="A26:B26"/>
    <mergeCell ref="C26:H26"/>
    <mergeCell ref="I26:Q26"/>
    <mergeCell ref="V26:Z26"/>
    <mergeCell ref="A31:B31"/>
    <mergeCell ref="C31:H31"/>
    <mergeCell ref="I31:Q31"/>
    <mergeCell ref="V31:Z31"/>
    <mergeCell ref="A32:B32"/>
    <mergeCell ref="C32:H32"/>
    <mergeCell ref="I32:Q32"/>
    <mergeCell ref="V32:Z32"/>
    <mergeCell ref="A29:B29"/>
    <mergeCell ref="C29:H29"/>
    <mergeCell ref="I29:Q29"/>
    <mergeCell ref="V29:Z29"/>
    <mergeCell ref="A30:B30"/>
    <mergeCell ref="C30:H30"/>
    <mergeCell ref="I30:Q30"/>
    <mergeCell ref="V30:Z30"/>
    <mergeCell ref="A35:B35"/>
    <mergeCell ref="C35:H35"/>
    <mergeCell ref="I35:Q35"/>
    <mergeCell ref="V35:Z35"/>
    <mergeCell ref="A36:B36"/>
    <mergeCell ref="C36:H36"/>
    <mergeCell ref="I36:Q36"/>
    <mergeCell ref="V36:Z36"/>
    <mergeCell ref="A33:B33"/>
    <mergeCell ref="C33:H33"/>
    <mergeCell ref="I33:Q33"/>
    <mergeCell ref="V33:Z33"/>
    <mergeCell ref="A34:B34"/>
    <mergeCell ref="C34:H34"/>
    <mergeCell ref="I34:Q34"/>
    <mergeCell ref="V34:Z34"/>
    <mergeCell ref="A39:B39"/>
    <mergeCell ref="C39:H39"/>
    <mergeCell ref="I39:Q39"/>
    <mergeCell ref="V39:Z39"/>
    <mergeCell ref="B40:I40"/>
    <mergeCell ref="N40:S40"/>
    <mergeCell ref="U40:Z40"/>
    <mergeCell ref="J37:P37"/>
    <mergeCell ref="T37:U37"/>
    <mergeCell ref="V37:Z37"/>
    <mergeCell ref="A38:B38"/>
    <mergeCell ref="C38:H38"/>
    <mergeCell ref="I38:Q38"/>
    <mergeCell ref="V38:Z38"/>
    <mergeCell ref="A48:B48"/>
    <mergeCell ref="C48:H48"/>
    <mergeCell ref="I48:Q48"/>
    <mergeCell ref="V48:Z48"/>
    <mergeCell ref="A49:B49"/>
    <mergeCell ref="C49:H49"/>
    <mergeCell ref="I49:Q49"/>
    <mergeCell ref="V49:Z49"/>
    <mergeCell ref="B42:I42"/>
    <mergeCell ref="N42:S42"/>
    <mergeCell ref="U42:Z42"/>
    <mergeCell ref="B43:I43"/>
    <mergeCell ref="N43:S43"/>
    <mergeCell ref="U43:Z43"/>
  </mergeCells>
  <printOptions horizontalCentered="1"/>
  <pageMargins left="0.43307086614173229" right="0.43307086614173229" top="0.55118110236220474" bottom="0.55118110236220474" header="0.31496062992125984" footer="0.31496062992125984"/>
  <pageSetup scale="85" orientation="portrait" r:id="rId1"/>
  <headerFooter alignWithMargins="0">
    <oddFooter>&amp;C&amp;"Calibri Light,Normal"&amp;11Página &amp;P de &amp;N&amp;R&amp;"Calibri Light,Normal"&amp;11F01 PBS 0201 Revisión 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Aseo</vt:lpstr>
      <vt:lpstr>Papelería</vt:lpstr>
      <vt:lpstr>Laboratorio</vt:lpstr>
      <vt:lpstr>Sustancias Uso Rec. </vt:lpstr>
      <vt:lpstr>Formato-VSA</vt:lpstr>
      <vt:lpstr>'Formato-VSA'!Área_de_impresión</vt:lpstr>
      <vt:lpstr>'Formato-VSA'!Títulos_a_imprimir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ANGELES KARINA GONZALEZ ARZATE</cp:lastModifiedBy>
  <cp:lastPrinted>2024-02-21T19:33:47Z</cp:lastPrinted>
  <dcterms:created xsi:type="dcterms:W3CDTF">2018-01-19T15:11:15Z</dcterms:created>
  <dcterms:modified xsi:type="dcterms:W3CDTF">2025-01-07T20:19:08Z</dcterms:modified>
</cp:coreProperties>
</file>